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embeddings/oleObject5.bin" ContentType="application/vnd.openxmlformats-officedocument.oleObject"/>
  <Override PartName="/xl/drawings/drawing4.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5.xml" ContentType="application/vnd.openxmlformats-officedocument.drawing+xml"/>
  <Override PartName="/xl/embeddings/oleObject8.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drawings/drawing8.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800" windowHeight="10280" activeTab="4"/>
  </bookViews>
  <sheets>
    <sheet name="Front Page" sheetId="16" r:id="rId1"/>
    <sheet name="GG.1.2" sheetId="1" r:id="rId2"/>
    <sheet name="GG.1.3.2" sheetId="2" r:id="rId3"/>
    <sheet name="GG.2.1" sheetId="3" r:id="rId4"/>
    <sheet name="GG.2.2" sheetId="5" r:id="rId5"/>
    <sheet name="GG.2.3" sheetId="4" r:id="rId6"/>
    <sheet name="GG.4" sheetId="6" r:id="rId7"/>
    <sheet name="GG.7" sheetId="7" r:id="rId8"/>
    <sheet name="GG.8.2" sheetId="8" r:id="rId9"/>
    <sheet name="GG.8.3" sheetId="9" r:id="rId10"/>
    <sheet name="GG.9" sheetId="10" r:id="rId11"/>
    <sheet name="GG.10" sheetId="11" r:id="rId12"/>
    <sheet name="GG.11" sheetId="12" r:id="rId13"/>
    <sheet name="GG.12" sheetId="13" r:id="rId14"/>
    <sheet name="GG.14.2" sheetId="14" r:id="rId15"/>
    <sheet name="GG.14.3" sheetId="15" r:id="rId16"/>
  </sheets>
  <definedNames>
    <definedName name="_Hlk484632902" localSheetId="4">'GG.2.2'!#REF!</definedName>
    <definedName name="_Hlk484632914" localSheetId="4">'GG.2.2'!$A$19</definedName>
    <definedName name="_Hlk487554614" localSheetId="12">GG.11!$A$32</definedName>
    <definedName name="_Toc107379214" localSheetId="11">GG.10!$B$1</definedName>
    <definedName name="_Toc107379214" localSheetId="12">GG.11!$B$1</definedName>
    <definedName name="_Toc107379214" localSheetId="13">GG.12!$B$1</definedName>
    <definedName name="_Toc107379214" localSheetId="14">'GG.14.2'!$B$1</definedName>
    <definedName name="_Toc107379214" localSheetId="15">'GG.14.3'!$B$1</definedName>
    <definedName name="_Toc107379214" localSheetId="3">'GG.2.1'!$B$1</definedName>
    <definedName name="_Toc107379214" localSheetId="4">'GG.2.2'!$B$1</definedName>
    <definedName name="_Toc107379214" localSheetId="5">'GG.2.3'!$B$1</definedName>
    <definedName name="_Toc107379214" localSheetId="6">GG.4!$B$1</definedName>
    <definedName name="_Toc107379214" localSheetId="7">GG.7!$B$1</definedName>
    <definedName name="_Toc107379214" localSheetId="8">'GG.8.2'!$B$1</definedName>
    <definedName name="_Toc107379214" localSheetId="9">'GG.8.3'!$B$1</definedName>
    <definedName name="_Toc107379214" localSheetId="10">GG.9!$B$1</definedName>
    <definedName name="_Toc362366703" localSheetId="11">GG.10!$B$1</definedName>
    <definedName name="_Toc362366703" localSheetId="12">GG.11!$B$1</definedName>
    <definedName name="_Toc362366703" localSheetId="13">GG.12!$B$1</definedName>
    <definedName name="_Toc362366703" localSheetId="8">'GG.8.2'!$B$1</definedName>
    <definedName name="_Toc362366703" localSheetId="9">'GG.8.3'!$B$1</definedName>
    <definedName name="_Toc362366703" localSheetId="10">GG.9!$B$1</definedName>
    <definedName name="_Toc362366706" localSheetId="11">GG.10!#REF!</definedName>
    <definedName name="_Toc362366706" localSheetId="12">GG.11!#REF!</definedName>
    <definedName name="_Toc362366706" localSheetId="13">GG.12!#REF!</definedName>
    <definedName name="_Toc362366706" localSheetId="8">'GG.8.2'!$B$2</definedName>
    <definedName name="_Toc362366706" localSheetId="9">'GG.8.3'!$B$2</definedName>
    <definedName name="_Toc362366706" localSheetId="10">GG.9!#REF!</definedName>
    <definedName name="_Toc364062045" localSheetId="6">GG.4!$B$1</definedName>
    <definedName name="_Toc364062049" localSheetId="7">GG.7!$B$1</definedName>
    <definedName name="_Toc458168252" localSheetId="4">'GG.2.2'!$B$1</definedName>
    <definedName name="_Toc458168263" localSheetId="11">GG.10!$B$1</definedName>
    <definedName name="_Toc458168263" localSheetId="12">GG.11!$B$1</definedName>
    <definedName name="_Toc458168263" localSheetId="13">GG.12!$B$1</definedName>
    <definedName name="_Toc458168269" localSheetId="12">GG.11!$B$1</definedName>
    <definedName name="_Toc458168271" localSheetId="12">GG.11!$B$19</definedName>
    <definedName name="_Toc458168272" localSheetId="12">GG.11!$B$45</definedName>
    <definedName name="_Toc458168273" localSheetId="13">GG.12!$B$1</definedName>
    <definedName name="_Toc488160412" localSheetId="1">'GG.1.2'!$A$1</definedName>
    <definedName name="_Toc488160412" localSheetId="2">'GG.1.3.2'!$A$1</definedName>
    <definedName name="_Toc488160412" localSheetId="11">GG.10!$A$1</definedName>
    <definedName name="_Toc488160412" localSheetId="12">GG.11!$A$1</definedName>
    <definedName name="_Toc488160412" localSheetId="13">GG.12!$A$1</definedName>
    <definedName name="_Toc488160412" localSheetId="14">'GG.14.2'!$A$1</definedName>
    <definedName name="_Toc488160412" localSheetId="15">'GG.14.3'!$A$1</definedName>
    <definedName name="_Toc488160412" localSheetId="3">'GG.2.1'!$A$1</definedName>
    <definedName name="_Toc488160412" localSheetId="4">'GG.2.2'!$A$1</definedName>
    <definedName name="_Toc488160412" localSheetId="5">'GG.2.3'!$A$1</definedName>
    <definedName name="_Toc488160412" localSheetId="6">GG.4!$A$1</definedName>
    <definedName name="_Toc488160412" localSheetId="7">GG.7!$A$1</definedName>
    <definedName name="_Toc488160412" localSheetId="8">'GG.8.2'!$A$1</definedName>
    <definedName name="_Toc488160412" localSheetId="9">'GG.8.3'!$A$1</definedName>
    <definedName name="_Toc488160412" localSheetId="10">GG.9!$A$1</definedName>
    <definedName name="_Toc488160423" localSheetId="7">GG.7!$B$2</definedName>
    <definedName name="_Toc488160428" localSheetId="11">GG.10!#REF!</definedName>
    <definedName name="_Toc488160428" localSheetId="12">GG.11!#REF!</definedName>
    <definedName name="_Toc488160428" localSheetId="13">GG.12!#REF!</definedName>
    <definedName name="_Toc488160428" localSheetId="9">'GG.8.3'!$B$2</definedName>
    <definedName name="_Toc488160428" localSheetId="10">GG.9!#REF!</definedName>
    <definedName name="_Toc488160429" localSheetId="11">GG.10!$B$1</definedName>
    <definedName name="_Toc488160429" localSheetId="12">GG.11!$B$1</definedName>
    <definedName name="_Toc488160429" localSheetId="13">GG.12!$B$1</definedName>
    <definedName name="_Toc488160429" localSheetId="10">GG.9!$B$1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5" l="1"/>
  <c r="D45" i="15" l="1"/>
  <c r="D41" i="12"/>
  <c r="D40" i="12"/>
  <c r="D27" i="9"/>
  <c r="D26" i="9"/>
  <c r="D18" i="6"/>
  <c r="D15" i="6" l="1"/>
  <c r="D6" i="6" s="1"/>
  <c r="D41" i="15"/>
  <c r="D36" i="15" s="1"/>
  <c r="D36" i="12"/>
  <c r="D37" i="12" s="1"/>
  <c r="D6" i="2"/>
  <c r="D38" i="15" l="1"/>
  <c r="D37" i="15"/>
  <c r="D32" i="15"/>
  <c r="D27" i="15"/>
  <c r="D28" i="4" l="1"/>
  <c r="D33" i="4"/>
  <c r="D6" i="15"/>
  <c r="D6" i="14"/>
  <c r="D6" i="4"/>
  <c r="D17" i="3"/>
  <c r="D31" i="15" l="1"/>
  <c r="D22" i="15" s="1"/>
  <c r="D23" i="15" s="1"/>
  <c r="D10" i="15"/>
  <c r="D10" i="14"/>
  <c r="D16" i="13" l="1"/>
  <c r="D5" i="13"/>
  <c r="D64" i="12" l="1"/>
  <c r="D52" i="12" s="1"/>
  <c r="D30" i="12"/>
  <c r="D24" i="12" s="1"/>
  <c r="D25" i="12" s="1"/>
  <c r="D6" i="12"/>
  <c r="D58" i="11"/>
  <c r="D41" i="11"/>
  <c r="D40" i="11"/>
  <c r="D39" i="11"/>
  <c r="D38" i="11"/>
  <c r="D10" i="11"/>
  <c r="D8" i="11"/>
  <c r="B67" i="11" s="1"/>
  <c r="D28" i="10"/>
  <c r="D15" i="10" s="1"/>
  <c r="D24" i="10"/>
  <c r="D6" i="10"/>
  <c r="D29" i="9"/>
  <c r="D22" i="9" s="1"/>
  <c r="D7" i="9"/>
  <c r="D13" i="9"/>
  <c r="D11" i="8"/>
  <c r="D7" i="8"/>
  <c r="D10" i="7"/>
  <c r="D6" i="7"/>
  <c r="D68" i="12" l="1"/>
  <c r="D69" i="12" s="1"/>
  <c r="D70" i="12" s="1"/>
  <c r="D56" i="12"/>
  <c r="D50" i="12"/>
  <c r="D19" i="10"/>
  <c r="D31" i="11"/>
  <c r="B68" i="11" s="1"/>
  <c r="D33" i="11"/>
  <c r="D31" i="4"/>
  <c r="D71" i="12" l="1"/>
  <c r="D72" i="12"/>
  <c r="D73" i="12"/>
  <c r="D74" i="12" s="1"/>
  <c r="D38" i="5"/>
  <c r="D39" i="5"/>
  <c r="D10" i="5"/>
  <c r="D6" i="5"/>
  <c r="D9" i="3"/>
  <c r="B6" i="3"/>
  <c r="D6" i="3"/>
  <c r="B9" i="3"/>
  <c r="D14" i="1"/>
  <c r="D13" i="1"/>
  <c r="D12" i="1"/>
  <c r="D7" i="1"/>
  <c r="D6" i="1"/>
  <c r="D5" i="1"/>
  <c r="D76" i="12" l="1"/>
  <c r="D75" i="12"/>
  <c r="B18" i="4"/>
  <c r="D30" i="4"/>
  <c r="D22" i="4" s="1"/>
  <c r="D23" i="4" s="1"/>
  <c r="D77" i="12" l="1"/>
  <c r="D78" i="12" s="1"/>
  <c r="D10" i="4"/>
  <c r="D79" i="12" l="1"/>
  <c r="D80" i="12"/>
  <c r="D53" i="12" l="1"/>
  <c r="D81" i="12"/>
</calcChain>
</file>

<file path=xl/sharedStrings.xml><?xml version="1.0" encoding="utf-8"?>
<sst xmlns="http://schemas.openxmlformats.org/spreadsheetml/2006/main" count="683" uniqueCount="396">
  <si>
    <t>Equations for IEC 60335-2-40:2022 Ed. 7</t>
  </si>
  <si>
    <t>This Excel workbook contains the equations from IEC 60335-2-40:2022 Ed. 7 Annex GG, which primarily covers charge limits. It is provided to facilitate the evaluation of charge limits and facilitate the use of IEC 60335-2-40 Ed. 7 in general.</t>
  </si>
  <si>
    <t>The workbook needs to be used together with the text of IEC 60335-2-40:2022 Ed. 7 to ensure compliance with the standard. It is provided "as is" with no warranties! The equations in IEC 60335-2-40 always prevails.</t>
  </si>
  <si>
    <t xml:space="preserve">This workbook is developed by Vonsild Consulting ApS, and not is endorsed by IEC! </t>
  </si>
  <si>
    <t>Input cells in this workbook are marked with a green background</t>
  </si>
  <si>
    <t>Results of equations are marked with a yellow background.</t>
  </si>
  <si>
    <t>Additional results not formally part of the equation are provided with grey background, where relevant.</t>
  </si>
  <si>
    <t>Feel free to use, modify, copy and share this workbook. If you find it useful then please send me a kind thought!</t>
  </si>
  <si>
    <t>Best Regards</t>
  </si>
  <si>
    <t>Asbjørn Vonsild</t>
  </si>
  <si>
    <t>Vonsild Consulting</t>
  </si>
  <si>
    <t>Kløvertoften 45,</t>
  </si>
  <si>
    <t>7100 Vejle, Denmark</t>
  </si>
  <si>
    <t>Tel. +45 2372 5559</t>
  </si>
  <si>
    <t>www.vonsild-consulting.com</t>
  </si>
  <si>
    <t>vonsild@vonsild-consulting.com</t>
  </si>
  <si>
    <t>GG.1.2</t>
  </si>
  <si>
    <t>Determination of the case applicable</t>
  </si>
  <si>
    <r>
      <t xml:space="preserve">For A2 and A3 refrigerants, </t>
    </r>
    <r>
      <rPr>
        <i/>
        <sz val="10"/>
        <color theme="1"/>
        <rFont val="Times New Roman"/>
        <family val="1"/>
      </rPr>
      <t>m</t>
    </r>
    <r>
      <rPr>
        <vertAlign val="subscript"/>
        <sz val="8"/>
        <color theme="1"/>
        <rFont val="Arial"/>
        <family val="2"/>
      </rPr>
      <t>1</t>
    </r>
    <r>
      <rPr>
        <sz val="10"/>
        <color theme="1"/>
        <rFont val="Arial"/>
        <family val="2"/>
      </rPr>
      <t xml:space="preserve">, </t>
    </r>
    <r>
      <rPr>
        <i/>
        <sz val="10"/>
        <color theme="1"/>
        <rFont val="Arial"/>
        <family val="2"/>
      </rPr>
      <t>m</t>
    </r>
    <r>
      <rPr>
        <vertAlign val="subscript"/>
        <sz val="8"/>
        <color theme="1"/>
        <rFont val="Arial"/>
        <family val="2"/>
      </rPr>
      <t>2</t>
    </r>
    <r>
      <rPr>
        <sz val="10"/>
        <color theme="1"/>
        <rFont val="Arial"/>
        <family val="2"/>
      </rPr>
      <t xml:space="preserve">, </t>
    </r>
    <r>
      <rPr>
        <i/>
        <sz val="10"/>
        <color theme="1"/>
        <rFont val="Arial"/>
        <family val="2"/>
      </rPr>
      <t>m</t>
    </r>
    <r>
      <rPr>
        <vertAlign val="subscript"/>
        <sz val="8"/>
        <color theme="1"/>
        <rFont val="Arial"/>
        <family val="2"/>
      </rPr>
      <t>3</t>
    </r>
    <r>
      <rPr>
        <sz val="10"/>
        <color theme="1"/>
        <rFont val="Arial"/>
        <family val="2"/>
      </rPr>
      <t xml:space="preserve"> are defined as follows:</t>
    </r>
  </si>
  <si>
    <r>
      <t>m</t>
    </r>
    <r>
      <rPr>
        <vertAlign val="subscript"/>
        <sz val="8"/>
        <color theme="1"/>
        <rFont val="Arial"/>
        <family val="2"/>
      </rPr>
      <t>1</t>
    </r>
    <r>
      <rPr>
        <sz val="10"/>
        <color theme="1"/>
        <rFont val="Arial"/>
        <family val="2"/>
      </rPr>
      <t xml:space="preserve"> = 4 </t>
    </r>
    <r>
      <rPr>
        <sz val="10"/>
        <color theme="1"/>
        <rFont val="Symbol"/>
        <family val="1"/>
        <charset val="2"/>
      </rPr>
      <t>´</t>
    </r>
    <r>
      <rPr>
        <sz val="10"/>
        <color theme="1"/>
        <rFont val="Arial"/>
        <family val="2"/>
      </rPr>
      <t xml:space="preserve"> </t>
    </r>
    <r>
      <rPr>
        <i/>
        <sz val="10"/>
        <color theme="1"/>
        <rFont val="Times New Roman"/>
        <family val="1"/>
      </rPr>
      <t>LFL</t>
    </r>
  </si>
  <si>
    <t>(GG.1)</t>
  </si>
  <si>
    <t>kg</t>
  </si>
  <si>
    <r>
      <t>m</t>
    </r>
    <r>
      <rPr>
        <vertAlign val="subscript"/>
        <sz val="8"/>
        <color theme="1"/>
        <rFont val="Arial"/>
        <family val="2"/>
      </rPr>
      <t>2</t>
    </r>
    <r>
      <rPr>
        <sz val="10"/>
        <color theme="1"/>
        <rFont val="Arial"/>
        <family val="2"/>
      </rPr>
      <t xml:space="preserve"> = 26 </t>
    </r>
    <r>
      <rPr>
        <sz val="10"/>
        <color theme="1"/>
        <rFont val="Symbol"/>
        <family val="1"/>
        <charset val="2"/>
      </rPr>
      <t>´</t>
    </r>
    <r>
      <rPr>
        <sz val="10"/>
        <color theme="1"/>
        <rFont val="Arial"/>
        <family val="2"/>
      </rPr>
      <t xml:space="preserve"> </t>
    </r>
    <r>
      <rPr>
        <i/>
        <sz val="10"/>
        <color theme="1"/>
        <rFont val="Times New Roman"/>
        <family val="1"/>
      </rPr>
      <t>LFL</t>
    </r>
  </si>
  <si>
    <t>(GG.2)</t>
  </si>
  <si>
    <r>
      <t>m</t>
    </r>
    <r>
      <rPr>
        <vertAlign val="subscript"/>
        <sz val="8"/>
        <color theme="1"/>
        <rFont val="Arial"/>
        <family val="2"/>
      </rPr>
      <t>3</t>
    </r>
    <r>
      <rPr>
        <sz val="10"/>
        <color theme="1"/>
        <rFont val="Arial"/>
        <family val="2"/>
      </rPr>
      <t xml:space="preserve"> = 130 </t>
    </r>
    <r>
      <rPr>
        <sz val="10"/>
        <color theme="1"/>
        <rFont val="Symbol"/>
        <family val="1"/>
        <charset val="2"/>
      </rPr>
      <t>´</t>
    </r>
    <r>
      <rPr>
        <sz val="10"/>
        <color theme="1"/>
        <rFont val="Arial"/>
        <family val="2"/>
      </rPr>
      <t xml:space="preserve"> </t>
    </r>
    <r>
      <rPr>
        <i/>
        <sz val="10"/>
        <color theme="1"/>
        <rFont val="Times New Roman"/>
        <family val="1"/>
      </rPr>
      <t>LFL</t>
    </r>
  </si>
  <si>
    <t>(GG.3)</t>
  </si>
  <si>
    <t>where</t>
  </si>
  <si>
    <r>
      <rPr>
        <i/>
        <sz val="10"/>
        <color theme="1"/>
        <rFont val="Times New Roman"/>
        <family val="1"/>
      </rPr>
      <t>LFL</t>
    </r>
    <r>
      <rPr>
        <sz val="10"/>
        <color theme="1"/>
        <rFont val="Arial"/>
        <family val="2"/>
      </rPr>
      <t xml:space="preserve"> is the </t>
    </r>
    <r>
      <rPr>
        <b/>
        <sz val="10"/>
        <color theme="1"/>
        <rFont val="Arial"/>
        <family val="2"/>
      </rPr>
      <t>lower flammability limit</t>
    </r>
    <r>
      <rPr>
        <sz val="10"/>
        <color theme="1"/>
        <rFont val="Arial"/>
        <family val="2"/>
      </rPr>
      <t xml:space="preserve"> in kg/m</t>
    </r>
    <r>
      <rPr>
        <vertAlign val="superscript"/>
        <sz val="8"/>
        <color theme="1"/>
        <rFont val="Arial"/>
        <family val="2"/>
      </rPr>
      <t>3</t>
    </r>
    <r>
      <rPr>
        <sz val="10"/>
        <color theme="1"/>
        <rFont val="Arial"/>
        <family val="2"/>
      </rPr>
      <t xml:space="preserve"> for the refrigerant used.</t>
    </r>
  </si>
  <si>
    <r>
      <t xml:space="preserve">For </t>
    </r>
    <r>
      <rPr>
        <b/>
        <sz val="11"/>
        <color theme="1"/>
        <rFont val="Calibri"/>
        <family val="2"/>
        <scheme val="minor"/>
      </rPr>
      <t>A2L refrigerants</t>
    </r>
    <r>
      <rPr>
        <sz val="11"/>
        <color theme="1"/>
        <rFont val="Calibri"/>
        <family val="2"/>
        <scheme val="minor"/>
      </rPr>
      <t xml:space="preserve">, </t>
    </r>
    <r>
      <rPr>
        <i/>
        <sz val="11"/>
        <color theme="1"/>
        <rFont val="Calibri"/>
        <family val="2"/>
        <scheme val="minor"/>
      </rPr>
      <t>m</t>
    </r>
    <r>
      <rPr>
        <vertAlign val="subscript"/>
        <sz val="11"/>
        <color theme="1"/>
        <rFont val="Calibri"/>
        <family val="2"/>
        <scheme val="minor"/>
      </rPr>
      <t>1</t>
    </r>
    <r>
      <rPr>
        <sz val="11"/>
        <color theme="1"/>
        <rFont val="Calibri"/>
        <family val="2"/>
        <scheme val="minor"/>
      </rPr>
      <t xml:space="preserve">, </t>
    </r>
    <r>
      <rPr>
        <i/>
        <sz val="11"/>
        <color theme="1"/>
        <rFont val="Calibri"/>
        <family val="2"/>
        <scheme val="minor"/>
      </rPr>
      <t>m</t>
    </r>
    <r>
      <rPr>
        <vertAlign val="subscript"/>
        <sz val="11"/>
        <color theme="1"/>
        <rFont val="Calibri"/>
        <family val="2"/>
        <scheme val="minor"/>
      </rPr>
      <t>2</t>
    </r>
    <r>
      <rPr>
        <sz val="11"/>
        <color theme="1"/>
        <rFont val="Calibri"/>
        <family val="2"/>
        <scheme val="minor"/>
      </rPr>
      <t xml:space="preserve">, </t>
    </r>
    <r>
      <rPr>
        <i/>
        <sz val="11"/>
        <color theme="1"/>
        <rFont val="Calibri"/>
        <family val="2"/>
        <scheme val="minor"/>
      </rPr>
      <t>m</t>
    </r>
    <r>
      <rPr>
        <vertAlign val="subscript"/>
        <sz val="11"/>
        <color theme="1"/>
        <rFont val="Calibri"/>
        <family val="2"/>
        <scheme val="minor"/>
      </rPr>
      <t>3</t>
    </r>
    <r>
      <rPr>
        <sz val="11"/>
        <color theme="1"/>
        <rFont val="Calibri"/>
        <family val="2"/>
        <scheme val="minor"/>
      </rPr>
      <t xml:space="preserve"> are defined as follows:</t>
    </r>
  </si>
  <si>
    <r>
      <t>m</t>
    </r>
    <r>
      <rPr>
        <vertAlign val="subscript"/>
        <sz val="8"/>
        <color theme="1"/>
        <rFont val="Arial"/>
        <family val="2"/>
      </rPr>
      <t>1</t>
    </r>
    <r>
      <rPr>
        <sz val="10"/>
        <color theme="1"/>
        <rFont val="Arial"/>
        <family val="2"/>
      </rPr>
      <t xml:space="preserve"> = 6 </t>
    </r>
    <r>
      <rPr>
        <sz val="10"/>
        <color theme="1"/>
        <rFont val="Symbol"/>
        <family val="1"/>
        <charset val="2"/>
      </rPr>
      <t>´</t>
    </r>
    <r>
      <rPr>
        <sz val="10"/>
        <color theme="1"/>
        <rFont val="Arial"/>
        <family val="2"/>
      </rPr>
      <t xml:space="preserve"> </t>
    </r>
    <r>
      <rPr>
        <i/>
        <sz val="10"/>
        <color theme="1"/>
        <rFont val="Times New Roman"/>
        <family val="1"/>
      </rPr>
      <t>LFL</t>
    </r>
  </si>
  <si>
    <t>(GG.4)</t>
  </si>
  <si>
    <r>
      <t>m</t>
    </r>
    <r>
      <rPr>
        <vertAlign val="subscript"/>
        <sz val="8"/>
        <color theme="1"/>
        <rFont val="Arial"/>
        <family val="2"/>
      </rPr>
      <t>2</t>
    </r>
    <r>
      <rPr>
        <sz val="10"/>
        <color theme="1"/>
        <rFont val="Arial"/>
        <family val="2"/>
      </rPr>
      <t xml:space="preserve"> = 52 </t>
    </r>
    <r>
      <rPr>
        <sz val="10"/>
        <color theme="1"/>
        <rFont val="Symbol"/>
        <family val="1"/>
        <charset val="2"/>
      </rPr>
      <t>´</t>
    </r>
    <r>
      <rPr>
        <sz val="10"/>
        <color theme="1"/>
        <rFont val="Arial"/>
        <family val="2"/>
      </rPr>
      <t xml:space="preserve"> </t>
    </r>
    <r>
      <rPr>
        <i/>
        <sz val="10"/>
        <color theme="1"/>
        <rFont val="Times New Roman"/>
        <family val="1"/>
      </rPr>
      <t>LFL</t>
    </r>
  </si>
  <si>
    <t>(GG.5)</t>
  </si>
  <si>
    <r>
      <t>m</t>
    </r>
    <r>
      <rPr>
        <vertAlign val="subscript"/>
        <sz val="8"/>
        <color theme="1"/>
        <rFont val="Arial"/>
        <family val="2"/>
      </rPr>
      <t>3</t>
    </r>
    <r>
      <rPr>
        <sz val="10"/>
        <color theme="1"/>
        <rFont val="Arial"/>
        <family val="2"/>
      </rPr>
      <t xml:space="preserve"> = 260 </t>
    </r>
    <r>
      <rPr>
        <sz val="10"/>
        <color theme="1"/>
        <rFont val="Symbol"/>
        <family val="1"/>
        <charset val="2"/>
      </rPr>
      <t>´</t>
    </r>
    <r>
      <rPr>
        <sz val="10"/>
        <color theme="1"/>
        <rFont val="Arial"/>
        <family val="2"/>
      </rPr>
      <t xml:space="preserve"> </t>
    </r>
    <r>
      <rPr>
        <i/>
        <sz val="10"/>
        <color theme="1"/>
        <rFont val="Times New Roman"/>
        <family val="1"/>
      </rPr>
      <t>LFL</t>
    </r>
  </si>
  <si>
    <t>(GG.6)</t>
  </si>
  <si>
    <r>
      <rPr>
        <i/>
        <sz val="10"/>
        <color theme="1"/>
        <rFont val="Arial"/>
        <family val="2"/>
      </rPr>
      <t>LFL</t>
    </r>
    <r>
      <rPr>
        <sz val="10"/>
        <color theme="1"/>
        <rFont val="Arial"/>
        <family val="2"/>
      </rPr>
      <t xml:space="preserve"> is the </t>
    </r>
    <r>
      <rPr>
        <b/>
        <sz val="10"/>
        <color theme="1"/>
        <rFont val="Arial"/>
        <family val="2"/>
      </rPr>
      <t>lower flammable limit</t>
    </r>
    <r>
      <rPr>
        <sz val="10"/>
        <color theme="1"/>
        <rFont val="Arial"/>
        <family val="2"/>
      </rPr>
      <t xml:space="preserve"> in kg/m</t>
    </r>
    <r>
      <rPr>
        <vertAlign val="superscript"/>
        <sz val="8"/>
        <color theme="1"/>
        <rFont val="Arial"/>
        <family val="2"/>
      </rPr>
      <t>3</t>
    </r>
    <r>
      <rPr>
        <sz val="10"/>
        <color theme="1"/>
        <rFont val="Arial"/>
        <family val="2"/>
      </rPr>
      <t xml:space="preserve"> for the refrigerant used.</t>
    </r>
  </si>
  <si>
    <t>GG.1.3.2</t>
  </si>
  <si>
    <t>Determination of unventilated room area for appliances using A2L refrigerant</t>
  </si>
  <si>
    <r>
      <t xml:space="preserve">The minimum opening area for natural ventilation, </t>
    </r>
    <r>
      <rPr>
        <i/>
        <sz val="11"/>
        <color theme="1"/>
        <rFont val="Arial"/>
        <family val="2"/>
      </rPr>
      <t>A</t>
    </r>
    <r>
      <rPr>
        <sz val="8"/>
        <color theme="1"/>
        <rFont val="Calibri"/>
        <family val="2"/>
        <scheme val="minor"/>
      </rPr>
      <t>nv,min</t>
    </r>
    <r>
      <rPr>
        <sz val="11"/>
        <color theme="1"/>
        <rFont val="Calibri"/>
        <family val="2"/>
        <scheme val="minor"/>
      </rPr>
      <t>, shall not be less than the following:</t>
    </r>
  </si>
  <si>
    <t>(GG.7)</t>
  </si>
  <si>
    <r>
      <t>m</t>
    </r>
    <r>
      <rPr>
        <vertAlign val="superscript"/>
        <sz val="11"/>
        <color theme="1"/>
        <rFont val="Calibri"/>
        <family val="2"/>
        <scheme val="minor"/>
      </rPr>
      <t>2</t>
    </r>
  </si>
  <si>
    <r>
      <t>A</t>
    </r>
    <r>
      <rPr>
        <vertAlign val="subscript"/>
        <sz val="11"/>
        <color theme="1"/>
        <rFont val="Calibri"/>
        <family val="2"/>
        <scheme val="minor"/>
      </rPr>
      <t>nv,min</t>
    </r>
  </si>
  <si>
    <r>
      <t>is the minimum opening for natural ventilation in m</t>
    </r>
    <r>
      <rPr>
        <sz val="8"/>
        <color theme="1"/>
        <rFont val="Arial"/>
        <family val="2"/>
      </rPr>
      <t>2</t>
    </r>
    <r>
      <rPr>
        <sz val="10"/>
        <color theme="1"/>
        <rFont val="Arial"/>
        <family val="2"/>
      </rPr>
      <t>;</t>
    </r>
  </si>
  <si>
    <r>
      <t>m</t>
    </r>
    <r>
      <rPr>
        <vertAlign val="subscript"/>
        <sz val="11"/>
        <color theme="1"/>
        <rFont val="Calibri"/>
        <family val="2"/>
        <scheme val="minor"/>
      </rPr>
      <t>c</t>
    </r>
  </si>
  <si>
    <r>
      <t xml:space="preserve">is the actual </t>
    </r>
    <r>
      <rPr>
        <b/>
        <sz val="10"/>
        <color theme="1"/>
        <rFont val="Arial"/>
        <family val="2"/>
      </rPr>
      <t>refrigerant charge</t>
    </r>
    <r>
      <rPr>
        <sz val="10"/>
        <color theme="1"/>
        <rFont val="Arial"/>
        <family val="2"/>
      </rPr>
      <t xml:space="preserve"> of refrigerant in the system in kg;</t>
    </r>
  </si>
  <si>
    <r>
      <t>m</t>
    </r>
    <r>
      <rPr>
        <vertAlign val="subscript"/>
        <sz val="11"/>
        <color theme="1"/>
        <rFont val="Calibri"/>
        <family val="2"/>
        <scheme val="minor"/>
      </rPr>
      <t>max</t>
    </r>
  </si>
  <si>
    <r>
      <t xml:space="preserve">is the allowable </t>
    </r>
    <r>
      <rPr>
        <b/>
        <sz val="10"/>
        <color theme="1"/>
        <rFont val="Arial"/>
        <family val="2"/>
      </rPr>
      <t xml:space="preserve">maximum refrigerant charge </t>
    </r>
    <r>
      <rPr>
        <sz val="10"/>
        <color theme="1"/>
        <rFont val="Arial"/>
        <family val="2"/>
      </rPr>
      <t xml:space="preserve">in the system in kg, calculated according to Equation GG.8 or </t>
    </r>
    <r>
      <rPr>
        <i/>
        <sz val="10"/>
        <color theme="1"/>
        <rFont val="Arial"/>
        <family val="2"/>
      </rPr>
      <t>m</t>
    </r>
    <r>
      <rPr>
        <vertAlign val="subscript"/>
        <sz val="10"/>
        <color theme="1"/>
        <rFont val="Arial"/>
        <family val="2"/>
      </rPr>
      <t>2</t>
    </r>
    <r>
      <rPr>
        <sz val="10"/>
        <color theme="1"/>
        <rFont val="Arial"/>
        <family val="2"/>
      </rPr>
      <t>, whichever is lower;</t>
    </r>
  </si>
  <si>
    <t>LFL</t>
  </si>
  <si>
    <r>
      <t xml:space="preserve">is the </t>
    </r>
    <r>
      <rPr>
        <b/>
        <sz val="10"/>
        <color theme="1"/>
        <rFont val="Arial"/>
        <family val="2"/>
      </rPr>
      <t>lower flammability limit</t>
    </r>
    <r>
      <rPr>
        <sz val="10"/>
        <color theme="1"/>
        <rFont val="Arial"/>
        <family val="2"/>
      </rPr>
      <t xml:space="preserve"> in kg/m</t>
    </r>
    <r>
      <rPr>
        <sz val="8"/>
        <color theme="1"/>
        <rFont val="Arial"/>
        <family val="2"/>
      </rPr>
      <t>3</t>
    </r>
    <r>
      <rPr>
        <sz val="10"/>
        <color theme="1"/>
        <rFont val="Arial"/>
        <family val="2"/>
      </rPr>
      <t>;</t>
    </r>
  </si>
  <si>
    <t>A</t>
  </si>
  <si>
    <r>
      <t>is the room area in m</t>
    </r>
    <r>
      <rPr>
        <vertAlign val="superscript"/>
        <sz val="8"/>
        <color theme="1"/>
        <rFont val="Arial"/>
        <family val="2"/>
      </rPr>
      <t>2</t>
    </r>
    <r>
      <rPr>
        <sz val="10"/>
        <color theme="1"/>
        <rFont val="Arial"/>
        <family val="2"/>
      </rPr>
      <t>;</t>
    </r>
  </si>
  <si>
    <t>M</t>
  </si>
  <si>
    <r>
      <t>is the molar mass of the refrigerant in kg/kmol</t>
    </r>
    <r>
      <rPr>
        <sz val="8.5"/>
        <color theme="1"/>
        <rFont val="Arial"/>
        <family val="2"/>
      </rPr>
      <t xml:space="preserve"> </t>
    </r>
  </si>
  <si>
    <t>g</t>
  </si>
  <si>
    <r>
      <t>is the gravity acceleration of 9,81 m/s</t>
    </r>
    <r>
      <rPr>
        <vertAlign val="superscript"/>
        <sz val="8"/>
        <color theme="1"/>
        <rFont val="Arial"/>
        <family val="2"/>
      </rPr>
      <t>2</t>
    </r>
    <r>
      <rPr>
        <sz val="10"/>
        <color theme="1"/>
        <rFont val="Arial"/>
        <family val="2"/>
      </rPr>
      <t>;</t>
    </r>
  </si>
  <si>
    <t>is the average molar mass of air in kg/kmol;</t>
  </si>
  <si>
    <t>is a constant.</t>
  </si>
  <si>
    <t>GG.2</t>
  </si>
  <si>
    <t>Requirements for charge limits in unventilated areas</t>
  </si>
  <si>
    <t>GG.2.1</t>
  </si>
  <si>
    <t>General</t>
  </si>
  <si>
    <r>
      <t xml:space="preserve">The </t>
    </r>
    <r>
      <rPr>
        <b/>
        <sz val="10"/>
        <color theme="1"/>
        <rFont val="Arial"/>
        <family val="2"/>
      </rPr>
      <t>maximum</t>
    </r>
    <r>
      <rPr>
        <sz val="10"/>
        <color theme="1"/>
        <rFont val="Arial"/>
        <family val="2"/>
      </rPr>
      <t xml:space="preserve"> </t>
    </r>
    <r>
      <rPr>
        <b/>
        <sz val="10"/>
        <color theme="1"/>
        <rFont val="Arial"/>
        <family val="2"/>
      </rPr>
      <t>refrigerant</t>
    </r>
    <r>
      <rPr>
        <sz val="10"/>
        <color theme="1"/>
        <rFont val="Arial"/>
        <family val="2"/>
      </rPr>
      <t xml:space="preserve"> </t>
    </r>
    <r>
      <rPr>
        <b/>
        <sz val="10"/>
        <color theme="1"/>
        <rFont val="Arial"/>
        <family val="2"/>
      </rPr>
      <t>charge</t>
    </r>
    <r>
      <rPr>
        <sz val="10"/>
        <color theme="1"/>
        <rFont val="Arial"/>
        <family val="2"/>
      </rPr>
      <t xml:space="preserve"> in a room shall be in accordance with the following:</t>
    </r>
  </si>
  <si>
    <r>
      <t>m</t>
    </r>
    <r>
      <rPr>
        <vertAlign val="subscript"/>
        <sz val="11"/>
        <color theme="1"/>
        <rFont val="Calibri"/>
        <family val="2"/>
        <scheme val="minor"/>
      </rPr>
      <t>max</t>
    </r>
    <r>
      <rPr>
        <sz val="11"/>
        <color theme="1"/>
        <rFont val="Calibri"/>
        <family val="2"/>
        <scheme val="minor"/>
      </rPr>
      <t xml:space="preserve"> = 2,5 × (</t>
    </r>
    <r>
      <rPr>
        <i/>
        <sz val="11"/>
        <color theme="1"/>
        <rFont val="Calibri"/>
        <family val="2"/>
        <scheme val="minor"/>
      </rPr>
      <t>LFL</t>
    </r>
    <r>
      <rPr>
        <sz val="11"/>
        <color theme="1"/>
        <rFont val="Calibri"/>
        <family val="2"/>
        <scheme val="minor"/>
      </rPr>
      <t>)</t>
    </r>
    <r>
      <rPr>
        <vertAlign val="superscript"/>
        <sz val="11"/>
        <color theme="1"/>
        <rFont val="Calibri"/>
        <family val="2"/>
        <scheme val="minor"/>
      </rPr>
      <t>(5/4)</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0</t>
    </r>
    <r>
      <rPr>
        <sz val="11"/>
        <color theme="1"/>
        <rFont val="Calibri"/>
        <family val="2"/>
        <scheme val="minor"/>
      </rPr>
      <t xml:space="preserve"> × (</t>
    </r>
    <r>
      <rPr>
        <i/>
        <sz val="11"/>
        <color theme="1"/>
        <rFont val="Calibri"/>
        <family val="2"/>
        <scheme val="minor"/>
      </rPr>
      <t>A</t>
    </r>
    <r>
      <rPr>
        <sz val="11"/>
        <color theme="1"/>
        <rFont val="Calibri"/>
        <family val="2"/>
        <scheme val="minor"/>
      </rPr>
      <t>)</t>
    </r>
    <r>
      <rPr>
        <vertAlign val="superscript"/>
        <sz val="11"/>
        <color theme="1"/>
        <rFont val="Calibri"/>
        <family val="2"/>
        <scheme val="minor"/>
      </rPr>
      <t>1/2</t>
    </r>
    <r>
      <rPr>
        <sz val="11"/>
        <color theme="1"/>
        <rFont val="Calibri"/>
        <family val="2"/>
        <scheme val="minor"/>
      </rPr>
      <t xml:space="preserve">, not to exceed </t>
    </r>
    <r>
      <rPr>
        <i/>
        <sz val="11"/>
        <color theme="1"/>
        <rFont val="Calibri"/>
        <family val="2"/>
        <scheme val="minor"/>
      </rPr>
      <t>m</t>
    </r>
    <r>
      <rPr>
        <vertAlign val="subscript"/>
        <sz val="11"/>
        <color theme="1"/>
        <rFont val="Calibri"/>
        <family val="2"/>
        <scheme val="minor"/>
      </rPr>
      <t>max</t>
    </r>
    <r>
      <rPr>
        <sz val="11"/>
        <color theme="1"/>
        <rFont val="Calibri"/>
        <family val="2"/>
        <scheme val="minor"/>
      </rPr>
      <t xml:space="preserve"> = </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0</t>
    </r>
    <r>
      <rPr>
        <sz val="11"/>
        <color theme="1"/>
        <rFont val="Calibri"/>
        <family val="2"/>
        <scheme val="minor"/>
      </rPr>
      <t xml:space="preserve"> × </t>
    </r>
    <r>
      <rPr>
        <i/>
        <sz val="11"/>
        <color theme="1"/>
        <rFont val="Calibri"/>
        <family val="2"/>
        <scheme val="minor"/>
      </rPr>
      <t>A</t>
    </r>
  </si>
  <si>
    <t>(GG.8)</t>
  </si>
  <si>
    <r>
      <t xml:space="preserve">or the required minimum room area </t>
    </r>
    <r>
      <rPr>
        <i/>
        <sz val="10"/>
        <color theme="1"/>
        <rFont val="Arial"/>
        <family val="2"/>
      </rPr>
      <t>A</t>
    </r>
    <r>
      <rPr>
        <vertAlign val="subscript"/>
        <sz val="10"/>
        <color theme="1"/>
        <rFont val="Arial"/>
        <family val="2"/>
      </rPr>
      <t>min</t>
    </r>
    <r>
      <rPr>
        <sz val="10"/>
        <color theme="1"/>
        <rFont val="Arial"/>
        <family val="2"/>
      </rPr>
      <t xml:space="preserve"> to install an appliance with </t>
    </r>
    <r>
      <rPr>
        <b/>
        <sz val="10"/>
        <color theme="1"/>
        <rFont val="Arial"/>
        <family val="2"/>
      </rPr>
      <t>refrigerant charge</t>
    </r>
    <r>
      <rPr>
        <i/>
        <sz val="10"/>
        <color theme="1"/>
        <rFont val="Arial"/>
        <family val="2"/>
      </rPr>
      <t xml:space="preserve"> m</t>
    </r>
    <r>
      <rPr>
        <vertAlign val="subscript"/>
        <sz val="10"/>
        <color theme="1"/>
        <rFont val="Arial"/>
        <family val="2"/>
      </rPr>
      <t>c</t>
    </r>
    <r>
      <rPr>
        <sz val="10"/>
        <color theme="1"/>
        <rFont val="Arial"/>
        <family val="2"/>
      </rPr>
      <t xml:space="preserve"> (kg) shall be in accordance with following:</t>
    </r>
  </si>
  <si>
    <r>
      <t>A</t>
    </r>
    <r>
      <rPr>
        <vertAlign val="subscript"/>
        <sz val="11"/>
        <color theme="1"/>
        <rFont val="Calibri"/>
        <family val="2"/>
        <scheme val="minor"/>
      </rPr>
      <t>min</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c</t>
    </r>
    <r>
      <rPr>
        <sz val="11"/>
        <color theme="1"/>
        <rFont val="Calibri"/>
        <family val="2"/>
        <scheme val="minor"/>
      </rPr>
      <t xml:space="preserve"> / (2,5 × (</t>
    </r>
    <r>
      <rPr>
        <i/>
        <sz val="11"/>
        <color theme="1"/>
        <rFont val="Calibri"/>
        <family val="2"/>
        <scheme val="minor"/>
      </rPr>
      <t>LFL</t>
    </r>
    <r>
      <rPr>
        <sz val="11"/>
        <color theme="1"/>
        <rFont val="Calibri"/>
        <family val="2"/>
        <scheme val="minor"/>
      </rPr>
      <t>)</t>
    </r>
    <r>
      <rPr>
        <vertAlign val="superscript"/>
        <sz val="11"/>
        <color theme="1"/>
        <rFont val="Calibri"/>
        <family val="2"/>
        <scheme val="minor"/>
      </rPr>
      <t>(5/4)</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0</t>
    </r>
    <r>
      <rPr>
        <sz val="11"/>
        <color theme="1"/>
        <rFont val="Calibri"/>
        <family val="2"/>
        <scheme val="minor"/>
      </rPr>
      <t>))</t>
    </r>
    <r>
      <rPr>
        <vertAlign val="superscript"/>
        <sz val="11"/>
        <color theme="1"/>
        <rFont val="Calibri"/>
        <family val="2"/>
        <scheme val="minor"/>
      </rPr>
      <t>2</t>
    </r>
    <r>
      <rPr>
        <sz val="11"/>
        <color theme="1"/>
        <rFont val="Calibri"/>
        <family val="2"/>
        <scheme val="minor"/>
      </rPr>
      <t xml:space="preserve">, not less than </t>
    </r>
    <r>
      <rPr>
        <i/>
        <sz val="11"/>
        <color theme="1"/>
        <rFont val="Calibri"/>
        <family val="2"/>
        <scheme val="minor"/>
      </rPr>
      <t>A</t>
    </r>
    <r>
      <rPr>
        <vertAlign val="subscript"/>
        <sz val="11"/>
        <color theme="1"/>
        <rFont val="Calibri"/>
        <family val="2"/>
        <scheme val="minor"/>
      </rPr>
      <t>min</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c</t>
    </r>
    <r>
      <rPr>
        <sz val="11"/>
        <color theme="1"/>
        <rFont val="Calibri"/>
        <family val="2"/>
        <scheme val="minor"/>
      </rPr>
      <t xml:space="preserve"> / (</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0</t>
    </r>
    <r>
      <rPr>
        <sz val="11"/>
        <color theme="1"/>
        <rFont val="Calibri"/>
        <family val="2"/>
        <scheme val="minor"/>
      </rPr>
      <t>)</t>
    </r>
  </si>
  <si>
    <t>(GG.9)</t>
  </si>
  <si>
    <t>m2</t>
  </si>
  <si>
    <r>
      <t xml:space="preserve">is the </t>
    </r>
    <r>
      <rPr>
        <b/>
        <sz val="10"/>
        <color theme="1"/>
        <rFont val="Arial"/>
        <family val="2"/>
      </rPr>
      <t>refrigerant charge</t>
    </r>
    <r>
      <rPr>
        <sz val="10"/>
        <color theme="1"/>
        <rFont val="Arial"/>
        <family val="2"/>
      </rPr>
      <t xml:space="preserve"> in appliance, in kg;</t>
    </r>
  </si>
  <si>
    <r>
      <t>A</t>
    </r>
    <r>
      <rPr>
        <sz val="10"/>
        <color theme="1"/>
        <rFont val="Arial"/>
        <family val="2"/>
      </rPr>
      <t xml:space="preserve"> </t>
    </r>
  </si>
  <si>
    <r>
      <t>is the room area, in m</t>
    </r>
    <r>
      <rPr>
        <vertAlign val="superscript"/>
        <sz val="8"/>
        <color theme="1"/>
        <rFont val="Arial"/>
        <family val="2"/>
      </rPr>
      <t>2</t>
    </r>
    <r>
      <rPr>
        <sz val="8"/>
        <color theme="1"/>
        <rFont val="Arial"/>
        <family val="2"/>
      </rPr>
      <t>;</t>
    </r>
  </si>
  <si>
    <t>is a constant;</t>
  </si>
  <si>
    <r>
      <t>LFL</t>
    </r>
    <r>
      <rPr>
        <sz val="10"/>
        <color theme="1"/>
        <rFont val="Arial"/>
        <family val="2"/>
      </rPr>
      <t xml:space="preserve"> </t>
    </r>
  </si>
  <si>
    <r>
      <t xml:space="preserve">is the </t>
    </r>
    <r>
      <rPr>
        <b/>
        <sz val="10"/>
        <color theme="1"/>
        <rFont val="Arial"/>
        <family val="2"/>
      </rPr>
      <t>lower flammability limit</t>
    </r>
    <r>
      <rPr>
        <sz val="10"/>
        <color theme="1"/>
        <rFont val="Arial"/>
        <family val="2"/>
      </rPr>
      <t>, in kg/m</t>
    </r>
    <r>
      <rPr>
        <vertAlign val="superscript"/>
        <sz val="8"/>
        <color theme="1"/>
        <rFont val="Arial"/>
        <family val="2"/>
      </rPr>
      <t>3</t>
    </r>
    <r>
      <rPr>
        <sz val="8"/>
        <color theme="1"/>
        <rFont val="Arial"/>
        <family val="2"/>
      </rPr>
      <t>;</t>
    </r>
  </si>
  <si>
    <t>kg/m3</t>
  </si>
  <si>
    <t>CF</t>
  </si>
  <si>
    <r>
      <t xml:space="preserve">is a concentration factor with a value of 0,75 for </t>
    </r>
    <r>
      <rPr>
        <b/>
        <sz val="10"/>
        <color theme="1"/>
        <rFont val="Arial"/>
        <family val="2"/>
      </rPr>
      <t>refrigerating systems</t>
    </r>
    <r>
      <rPr>
        <sz val="10"/>
        <color theme="1"/>
        <rFont val="Arial"/>
        <family val="2"/>
      </rPr>
      <t xml:space="preserve"> using </t>
    </r>
    <r>
      <rPr>
        <b/>
        <sz val="10"/>
        <color theme="1"/>
        <rFont val="Arial"/>
        <family val="2"/>
      </rPr>
      <t>A2L refrigerant</t>
    </r>
    <r>
      <rPr>
        <sz val="10"/>
        <color theme="1"/>
        <rFont val="Arial"/>
        <family val="2"/>
      </rPr>
      <t xml:space="preserve"> and a value of 0,5 for </t>
    </r>
    <r>
      <rPr>
        <b/>
        <sz val="10"/>
        <color theme="1"/>
        <rFont val="Arial"/>
        <family val="2"/>
      </rPr>
      <t>refrigerating systems</t>
    </r>
    <r>
      <rPr>
        <sz val="10"/>
        <color theme="1"/>
        <rFont val="Arial"/>
        <family val="2"/>
      </rPr>
      <t xml:space="preserve"> using A2 or A3 refrigerant;</t>
    </r>
  </si>
  <si>
    <r>
      <t>h</t>
    </r>
    <r>
      <rPr>
        <vertAlign val="subscript"/>
        <sz val="11"/>
        <color theme="1"/>
        <rFont val="Calibri"/>
        <family val="2"/>
        <scheme val="minor"/>
      </rPr>
      <t>0</t>
    </r>
  </si>
  <si>
    <t>is the release height, the vertical distance in metres from the floor to the point of release when the appliance is installed (see Figure GG.3).</t>
  </si>
  <si>
    <t>m</t>
  </si>
  <si>
    <r>
      <t>h</t>
    </r>
    <r>
      <rPr>
        <vertAlign val="subscript"/>
        <sz val="11"/>
        <color theme="1"/>
        <rFont val="Calibri"/>
        <family val="2"/>
        <scheme val="minor"/>
      </rPr>
      <t>0</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inst</t>
    </r>
    <r>
      <rPr>
        <sz val="11"/>
        <color theme="1"/>
        <rFont val="Calibri"/>
        <family val="2"/>
        <scheme val="minor"/>
      </rPr>
      <t>+</t>
    </r>
    <r>
      <rPr>
        <i/>
        <sz val="11"/>
        <color theme="1"/>
        <rFont val="Calibri"/>
        <family val="2"/>
        <scheme val="minor"/>
      </rPr>
      <t>h</t>
    </r>
    <r>
      <rPr>
        <vertAlign val="subscript"/>
        <sz val="11"/>
        <color theme="1"/>
        <rFont val="Calibri"/>
        <family val="2"/>
        <scheme val="minor"/>
      </rPr>
      <t>rel</t>
    </r>
    <r>
      <rPr>
        <sz val="11"/>
        <color theme="1"/>
        <rFont val="Calibri"/>
        <family val="2"/>
        <scheme val="minor"/>
      </rPr>
      <t>) or 0,6 m, whichever is higher.</t>
    </r>
  </si>
  <si>
    <r>
      <t>h</t>
    </r>
    <r>
      <rPr>
        <vertAlign val="subscript"/>
        <sz val="11"/>
        <color theme="1"/>
        <rFont val="Calibri"/>
        <family val="2"/>
        <scheme val="minor"/>
      </rPr>
      <t>rel</t>
    </r>
  </si>
  <si>
    <r>
      <t xml:space="preserve">is the </t>
    </r>
    <r>
      <rPr>
        <b/>
        <sz val="10"/>
        <color theme="1"/>
        <rFont val="Arial"/>
        <family val="2"/>
      </rPr>
      <t>release offset</t>
    </r>
    <r>
      <rPr>
        <sz val="10"/>
        <color theme="1"/>
        <rFont val="Arial"/>
        <family val="2"/>
      </rPr>
      <t xml:space="preserve"> in metres from the bottom of the appliance to the point of release (see Figure GG.3). Cumulative openings smaller than 5 cm</t>
    </r>
    <r>
      <rPr>
        <vertAlign val="superscript"/>
        <sz val="8"/>
        <color theme="1"/>
        <rFont val="Arial"/>
        <family val="2"/>
      </rPr>
      <t>2</t>
    </r>
    <r>
      <rPr>
        <sz val="10"/>
        <color theme="1"/>
        <rFont val="Arial"/>
        <family val="2"/>
      </rPr>
      <t xml:space="preserve"> and openings with a single dimension of not more than 0,1 mm are not considered as openings where leaking refrigerant can escape. Openings for routing of wires and tubing which are not sealed openings shall include the total area of the opening without consideration of the area occupied by the tubing or wire.</t>
    </r>
  </si>
  <si>
    <r>
      <t>h</t>
    </r>
    <r>
      <rPr>
        <vertAlign val="subscript"/>
        <sz val="11"/>
        <color theme="1"/>
        <rFont val="Calibri"/>
        <family val="2"/>
        <scheme val="minor"/>
      </rPr>
      <t>inst</t>
    </r>
  </si>
  <si>
    <r>
      <t xml:space="preserve">is the </t>
    </r>
    <r>
      <rPr>
        <b/>
        <sz val="10"/>
        <color theme="1"/>
        <rFont val="Arial"/>
        <family val="2"/>
      </rPr>
      <t>installed height</t>
    </r>
    <r>
      <rPr>
        <sz val="10"/>
        <color theme="1"/>
        <rFont val="Arial"/>
        <family val="2"/>
      </rPr>
      <t xml:space="preserve"> in metres of the unit (see Figure GG.3).</t>
    </r>
  </si>
  <si>
    <r>
      <t xml:space="preserve">Reference </t>
    </r>
    <r>
      <rPr>
        <b/>
        <sz val="10"/>
        <color theme="1"/>
        <rFont val="Arial"/>
        <family val="2"/>
      </rPr>
      <t>installed heights</t>
    </r>
    <r>
      <rPr>
        <sz val="10"/>
        <color theme="1"/>
        <rFont val="Arial"/>
        <family val="2"/>
      </rPr>
      <t xml:space="preserve"> are given below:</t>
    </r>
  </si>
  <si>
    <r>
      <t>h</t>
    </r>
    <r>
      <rPr>
        <vertAlign val="subscript"/>
        <sz val="11"/>
        <color theme="1"/>
        <rFont val="Calibri"/>
        <family val="2"/>
        <scheme val="minor"/>
      </rPr>
      <t>inst</t>
    </r>
    <r>
      <rPr>
        <sz val="11"/>
        <color theme="1"/>
        <rFont val="Calibri"/>
        <family val="2"/>
        <scheme val="minor"/>
      </rPr>
      <t xml:space="preserve"> = 0,0 m for portable and floor mounted;</t>
    </r>
  </si>
  <si>
    <r>
      <t>h</t>
    </r>
    <r>
      <rPr>
        <vertAlign val="subscript"/>
        <sz val="11"/>
        <color theme="1"/>
        <rFont val="Calibri"/>
        <family val="2"/>
        <scheme val="minor"/>
      </rPr>
      <t>inst</t>
    </r>
    <r>
      <rPr>
        <sz val="11"/>
        <color theme="1"/>
        <rFont val="Calibri"/>
        <family val="2"/>
        <scheme val="minor"/>
      </rPr>
      <t xml:space="preserve"> = 1,0 m for window mounted;</t>
    </r>
  </si>
  <si>
    <r>
      <t>h</t>
    </r>
    <r>
      <rPr>
        <vertAlign val="subscript"/>
        <sz val="11"/>
        <color theme="1"/>
        <rFont val="Calibri"/>
        <family val="2"/>
        <scheme val="minor"/>
      </rPr>
      <t>inst</t>
    </r>
    <r>
      <rPr>
        <sz val="11"/>
        <color theme="1"/>
        <rFont val="Calibri"/>
        <family val="2"/>
        <scheme val="minor"/>
      </rPr>
      <t xml:space="preserve"> = 1,8 m for wall mounted;</t>
    </r>
  </si>
  <si>
    <r>
      <t>h</t>
    </r>
    <r>
      <rPr>
        <vertAlign val="subscript"/>
        <sz val="11"/>
        <color theme="1"/>
        <rFont val="Calibri"/>
        <family val="2"/>
        <scheme val="minor"/>
      </rPr>
      <t>inst</t>
    </r>
    <r>
      <rPr>
        <sz val="11"/>
        <color theme="1"/>
        <rFont val="Calibri"/>
        <family val="2"/>
        <scheme val="minor"/>
      </rPr>
      <t xml:space="preserve"> = 2,2 m for ceiling mounted.</t>
    </r>
  </si>
  <si>
    <t>GG.2.2</t>
  </si>
  <si>
    <t>Appliances using A2L refrigerants with incorporated circulation airflow</t>
  </si>
  <si>
    <r>
      <t xml:space="preserve">The </t>
    </r>
    <r>
      <rPr>
        <b/>
        <sz val="10"/>
        <color theme="1"/>
        <rFont val="Arial"/>
        <family val="2"/>
      </rPr>
      <t>maximum refrigerant charge</t>
    </r>
    <r>
      <rPr>
        <sz val="10"/>
        <color theme="1"/>
        <rFont val="Arial"/>
        <family val="2"/>
      </rPr>
      <t xml:space="preserve"> in a room shall be in accordance with the following:</t>
    </r>
  </si>
  <si>
    <r>
      <t>m</t>
    </r>
    <r>
      <rPr>
        <vertAlign val="subscript"/>
        <sz val="11"/>
        <color theme="1"/>
        <rFont val="Calibri"/>
        <family val="2"/>
        <scheme val="minor"/>
      </rPr>
      <t>max</t>
    </r>
    <r>
      <rPr>
        <sz val="11"/>
        <color theme="1"/>
        <rFont val="Calibri"/>
        <family val="2"/>
        <scheme val="minor"/>
      </rPr>
      <t xml:space="preserve"> = </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ra</t>
    </r>
    <r>
      <rPr>
        <sz val="11"/>
        <color theme="1"/>
        <rFont val="Calibri"/>
        <family val="2"/>
        <scheme val="minor"/>
      </rPr>
      <t xml:space="preserve"> × </t>
    </r>
    <r>
      <rPr>
        <i/>
        <sz val="11"/>
        <color theme="1"/>
        <rFont val="Calibri"/>
        <family val="2"/>
        <scheme val="minor"/>
      </rPr>
      <t>A</t>
    </r>
  </si>
  <si>
    <t>(GG.10)</t>
  </si>
  <si>
    <r>
      <t xml:space="preserve">or the required minimum room area </t>
    </r>
    <r>
      <rPr>
        <i/>
        <sz val="10"/>
        <color theme="1"/>
        <rFont val="Times New Roman"/>
        <family val="1"/>
      </rPr>
      <t>A</t>
    </r>
    <r>
      <rPr>
        <vertAlign val="subscript"/>
        <sz val="8"/>
        <color theme="1"/>
        <rFont val="Arial"/>
        <family val="2"/>
      </rPr>
      <t>min</t>
    </r>
    <r>
      <rPr>
        <sz val="10"/>
        <color theme="1"/>
        <rFont val="Arial"/>
        <family val="2"/>
      </rPr>
      <t xml:space="preserve"> of installed appliance with </t>
    </r>
    <r>
      <rPr>
        <b/>
        <sz val="10"/>
        <color theme="1"/>
        <rFont val="Arial"/>
        <family val="2"/>
      </rPr>
      <t xml:space="preserve">refrigerant charge </t>
    </r>
    <r>
      <rPr>
        <i/>
        <sz val="10"/>
        <color theme="1"/>
        <rFont val="Times New Roman"/>
        <family val="1"/>
      </rPr>
      <t>m</t>
    </r>
    <r>
      <rPr>
        <vertAlign val="subscript"/>
        <sz val="8"/>
        <color theme="1"/>
        <rFont val="Arial"/>
        <family val="2"/>
      </rPr>
      <t>c</t>
    </r>
    <r>
      <rPr>
        <sz val="10"/>
        <color theme="1"/>
        <rFont val="Arial"/>
        <family val="2"/>
      </rPr>
      <t xml:space="preserve"> (kg) shall be in accordance with following;</t>
    </r>
  </si>
  <si>
    <r>
      <t>A</t>
    </r>
    <r>
      <rPr>
        <vertAlign val="subscript"/>
        <sz val="11"/>
        <color theme="1"/>
        <rFont val="Calibri"/>
        <family val="2"/>
        <scheme val="minor"/>
      </rPr>
      <t>min</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c</t>
    </r>
    <r>
      <rPr>
        <sz val="11"/>
        <color theme="1"/>
        <rFont val="Calibri"/>
        <family val="2"/>
        <scheme val="minor"/>
      </rPr>
      <t>/(</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ra</t>
    </r>
    <r>
      <rPr>
        <sz val="11"/>
        <color theme="1"/>
        <rFont val="Calibri"/>
        <family val="2"/>
        <scheme val="minor"/>
      </rPr>
      <t>)</t>
    </r>
  </si>
  <si>
    <t>(GG.11)</t>
  </si>
  <si>
    <t>is a concentration factor with a value of 0,75;</t>
  </si>
  <si>
    <r>
      <t xml:space="preserve">is the actual </t>
    </r>
    <r>
      <rPr>
        <b/>
        <sz val="10"/>
        <color theme="1"/>
        <rFont val="Arial"/>
        <family val="2"/>
      </rPr>
      <t xml:space="preserve">refrigerant charge </t>
    </r>
    <r>
      <rPr>
        <sz val="10"/>
        <color theme="1"/>
        <rFont val="Arial"/>
        <family val="2"/>
      </rPr>
      <t>in the system in kg;</t>
    </r>
  </si>
  <si>
    <r>
      <t>h</t>
    </r>
    <r>
      <rPr>
        <vertAlign val="subscript"/>
        <sz val="11"/>
        <color theme="1"/>
        <rFont val="Calibri"/>
        <family val="2"/>
        <scheme val="minor"/>
      </rPr>
      <t>ra</t>
    </r>
  </si>
  <si>
    <t>is the estimate reaching height of airflow in m;</t>
  </si>
  <si>
    <r>
      <t>A</t>
    </r>
    <r>
      <rPr>
        <i/>
        <sz val="10"/>
        <color theme="1"/>
        <rFont val="Arial"/>
        <family val="2"/>
      </rPr>
      <t xml:space="preserve"> </t>
    </r>
  </si>
  <si>
    <r>
      <t xml:space="preserve">is the </t>
    </r>
    <r>
      <rPr>
        <b/>
        <sz val="10"/>
        <color theme="1"/>
        <rFont val="Arial"/>
        <family val="2"/>
      </rPr>
      <t>lower flammability limit</t>
    </r>
    <r>
      <rPr>
        <sz val="10"/>
        <color theme="1"/>
        <rFont val="Arial"/>
        <family val="2"/>
      </rPr>
      <t xml:space="preserve"> in kg/m</t>
    </r>
    <r>
      <rPr>
        <vertAlign val="superscript"/>
        <sz val="8"/>
        <color theme="1"/>
        <rFont val="Arial"/>
        <family val="2"/>
      </rPr>
      <t>3</t>
    </r>
    <r>
      <rPr>
        <sz val="10"/>
        <color theme="1"/>
        <rFont val="Arial"/>
        <family val="2"/>
      </rPr>
      <t>.</t>
    </r>
  </si>
  <si>
    <r>
      <t>kg/m</t>
    </r>
    <r>
      <rPr>
        <vertAlign val="superscript"/>
        <sz val="11"/>
        <color theme="1"/>
        <rFont val="Calibri"/>
        <family val="2"/>
        <scheme val="minor"/>
      </rPr>
      <t>3</t>
    </r>
  </si>
  <si>
    <t>Table GG.2 – Circulation airflow</t>
  </si>
  <si>
    <t>Minimum airflow rate:</t>
  </si>
  <si>
    <r>
      <t>m</t>
    </r>
    <r>
      <rPr>
        <vertAlign val="superscript"/>
        <sz val="11"/>
        <color theme="1"/>
        <rFont val="Calibri"/>
        <family val="2"/>
        <scheme val="minor"/>
      </rPr>
      <t>3</t>
    </r>
    <r>
      <rPr>
        <sz val="11"/>
        <color theme="1"/>
        <rFont val="Calibri"/>
        <family val="2"/>
        <scheme val="minor"/>
      </rPr>
      <t>/h</t>
    </r>
  </si>
  <si>
    <r>
      <t>h</t>
    </r>
    <r>
      <rPr>
        <vertAlign val="subscript"/>
        <sz val="11"/>
        <color theme="1"/>
        <rFont val="Calibri"/>
        <family val="2"/>
        <scheme val="minor"/>
      </rPr>
      <t>a</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d</t>
    </r>
    <r>
      <rPr>
        <sz val="11"/>
        <color theme="1"/>
        <rFont val="Calibri"/>
        <family val="2"/>
        <scheme val="minor"/>
      </rPr>
      <t>:</t>
    </r>
  </si>
  <si>
    <r>
      <t>h</t>
    </r>
    <r>
      <rPr>
        <vertAlign val="subscript"/>
        <sz val="11"/>
        <color theme="1"/>
        <rFont val="Calibri"/>
        <family val="2"/>
        <scheme val="minor"/>
      </rPr>
      <t>a</t>
    </r>
    <r>
      <rPr>
        <sz val="11"/>
        <color theme="1"/>
        <rFont val="Calibri"/>
        <family val="2"/>
        <scheme val="minor"/>
      </rPr>
      <t xml:space="preserve"> is the air delivery height in upper side in m.</t>
    </r>
  </si>
  <si>
    <r>
      <t>h</t>
    </r>
    <r>
      <rPr>
        <vertAlign val="subscript"/>
        <sz val="11"/>
        <color theme="1"/>
        <rFont val="Calibri"/>
        <family val="2"/>
        <scheme val="minor"/>
      </rPr>
      <t>d</t>
    </r>
    <r>
      <rPr>
        <sz val="11"/>
        <color theme="1"/>
        <rFont val="Calibri"/>
        <family val="2"/>
        <scheme val="minor"/>
      </rPr>
      <t xml:space="preserve"> is the dynamic reaching height of airflow in m:</t>
    </r>
  </si>
  <si>
    <t>(GG.12)</t>
  </si>
  <si>
    <r>
      <t>v</t>
    </r>
    <r>
      <rPr>
        <sz val="10"/>
        <color theme="1"/>
        <rFont val="Arial"/>
        <family val="2"/>
      </rPr>
      <t xml:space="preserve"> </t>
    </r>
  </si>
  <si>
    <r>
      <t xml:space="preserve">is the </t>
    </r>
    <r>
      <rPr>
        <b/>
        <sz val="10"/>
        <color theme="1"/>
        <rFont val="Arial"/>
        <family val="2"/>
      </rPr>
      <t xml:space="preserve">circulation airflow </t>
    </r>
    <r>
      <rPr>
        <sz val="10"/>
        <color theme="1"/>
        <rFont val="Arial"/>
        <family val="2"/>
      </rPr>
      <t>velocity in m/s;</t>
    </r>
  </si>
  <si>
    <t>m/s</t>
  </si>
  <si>
    <t xml:space="preserve"> </t>
  </si>
  <si>
    <r>
      <t xml:space="preserve">is the </t>
    </r>
    <r>
      <rPr>
        <b/>
        <sz val="10"/>
        <color theme="1"/>
        <rFont val="Arial"/>
        <family val="2"/>
      </rPr>
      <t xml:space="preserve">circulation airflow </t>
    </r>
    <r>
      <rPr>
        <sz val="10"/>
        <color theme="1"/>
        <rFont val="Arial"/>
        <family val="2"/>
      </rPr>
      <t>elevation angle from horizontal in degrees (0° ≤   ≤ 90°);</t>
    </r>
  </si>
  <si>
    <t>°</t>
  </si>
  <si>
    <r>
      <t>is the gas density of the refrigerant at atmospheric pressure and 25 °C in kg/m</t>
    </r>
    <r>
      <rPr>
        <vertAlign val="superscript"/>
        <sz val="8"/>
        <color theme="1"/>
        <rFont val="Arial"/>
        <family val="2"/>
      </rPr>
      <t>3</t>
    </r>
    <r>
      <rPr>
        <sz val="10"/>
        <color theme="1"/>
        <rFont val="Arial"/>
        <family val="2"/>
      </rPr>
      <t>.</t>
    </r>
  </si>
  <si>
    <t>GG.2.3</t>
  </si>
  <si>
    <t>Appliances using A2/A3 refrigerants with incorporated circulation airflow</t>
  </si>
  <si>
    <r>
      <t>m</t>
    </r>
    <r>
      <rPr>
        <vertAlign val="subscript"/>
        <sz val="11"/>
        <color theme="1"/>
        <rFont val="Calibri"/>
        <family val="2"/>
        <scheme val="minor"/>
      </rPr>
      <t>max</t>
    </r>
    <r>
      <rPr>
        <sz val="11"/>
        <color theme="1"/>
        <rFont val="Calibri"/>
        <family val="2"/>
        <scheme val="minor"/>
      </rPr>
      <t xml:space="preserve"> = </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A</t>
    </r>
    <r>
      <rPr>
        <sz val="11"/>
        <color theme="1"/>
        <rFont val="Calibri"/>
        <family val="2"/>
        <scheme val="minor"/>
      </rPr>
      <t xml:space="preserve"> × 2,2</t>
    </r>
  </si>
  <si>
    <t>(GG.13)</t>
  </si>
  <si>
    <r>
      <t xml:space="preserve">or the required minimum room area </t>
    </r>
    <r>
      <rPr>
        <i/>
        <sz val="10"/>
        <color theme="1"/>
        <rFont val="Times New Roman"/>
        <family val="1"/>
      </rPr>
      <t>A</t>
    </r>
    <r>
      <rPr>
        <sz val="8"/>
        <color theme="1"/>
        <rFont val="Arial"/>
        <family val="2"/>
      </rPr>
      <t>min</t>
    </r>
    <r>
      <rPr>
        <sz val="10"/>
        <color theme="1"/>
        <rFont val="Arial"/>
        <family val="2"/>
      </rPr>
      <t xml:space="preserve"> of installed appliance with </t>
    </r>
    <r>
      <rPr>
        <b/>
        <sz val="10"/>
        <color theme="1"/>
        <rFont val="Arial"/>
        <family val="2"/>
      </rPr>
      <t xml:space="preserve">refrigerant charge </t>
    </r>
    <r>
      <rPr>
        <i/>
        <sz val="10"/>
        <color theme="1"/>
        <rFont val="Times New Roman"/>
        <family val="1"/>
      </rPr>
      <t>m</t>
    </r>
    <r>
      <rPr>
        <vertAlign val="subscript"/>
        <sz val="8"/>
        <color theme="1"/>
        <rFont val="Arial"/>
        <family val="2"/>
      </rPr>
      <t>c</t>
    </r>
    <r>
      <rPr>
        <sz val="10"/>
        <color theme="1"/>
        <rFont val="Arial"/>
        <family val="2"/>
      </rPr>
      <t xml:space="preserve"> (kg) shall be in accordance with following;</t>
    </r>
  </si>
  <si>
    <r>
      <t>A</t>
    </r>
    <r>
      <rPr>
        <vertAlign val="subscript"/>
        <sz val="11"/>
        <color theme="1"/>
        <rFont val="Calibri"/>
        <family val="2"/>
        <scheme val="minor"/>
      </rPr>
      <t>min</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c</t>
    </r>
    <r>
      <rPr>
        <sz val="11"/>
        <color theme="1"/>
        <rFont val="Calibri"/>
        <family val="2"/>
        <scheme val="minor"/>
      </rPr>
      <t>/(</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2,2)</t>
    </r>
  </si>
  <si>
    <t>(GG.14)</t>
  </si>
  <si>
    <r>
      <t xml:space="preserve">is a concentration factor not exceeding 0,5. The value shall be the value as used in the equation for calculating </t>
    </r>
    <r>
      <rPr>
        <i/>
        <sz val="10"/>
        <color theme="1"/>
        <rFont val="Times New Roman"/>
        <family val="1"/>
      </rPr>
      <t>Q</t>
    </r>
    <r>
      <rPr>
        <vertAlign val="subscript"/>
        <sz val="8"/>
        <color theme="1"/>
        <rFont val="Arial"/>
        <family val="2"/>
      </rPr>
      <t>min</t>
    </r>
    <r>
      <rPr>
        <sz val="10"/>
        <color theme="1"/>
        <rFont val="Arial"/>
        <family val="2"/>
      </rPr>
      <t xml:space="preserve"> in Equation GG.15;</t>
    </r>
  </si>
  <si>
    <t>is the room height in m;</t>
  </si>
  <si>
    <r>
      <t>is the room area in m</t>
    </r>
    <r>
      <rPr>
        <sz val="8"/>
        <color theme="1"/>
        <rFont val="Arial"/>
        <family val="2"/>
      </rPr>
      <t>2</t>
    </r>
    <r>
      <rPr>
        <sz val="10"/>
        <color theme="1"/>
        <rFont val="Arial"/>
        <family val="2"/>
      </rPr>
      <t>;</t>
    </r>
  </si>
  <si>
    <r>
      <t xml:space="preserve">is the </t>
    </r>
    <r>
      <rPr>
        <b/>
        <sz val="10"/>
        <color theme="1"/>
        <rFont val="Arial"/>
        <family val="2"/>
      </rPr>
      <t>lower flammability limit</t>
    </r>
    <r>
      <rPr>
        <sz val="10"/>
        <color theme="1"/>
        <rFont val="Arial"/>
        <family val="2"/>
      </rPr>
      <t xml:space="preserve"> in kg/m</t>
    </r>
    <r>
      <rPr>
        <sz val="8"/>
        <color theme="1"/>
        <rFont val="Arial"/>
        <family val="2"/>
      </rPr>
      <t>3</t>
    </r>
    <r>
      <rPr>
        <sz val="10"/>
        <color theme="1"/>
        <rFont val="Arial"/>
        <family val="2"/>
      </rPr>
      <t>.</t>
    </r>
  </si>
  <si>
    <r>
      <t xml:space="preserve">The fan incorporated into an appliance shall have a minimum </t>
    </r>
    <r>
      <rPr>
        <b/>
        <sz val="10"/>
        <color theme="1"/>
        <rFont val="Arial"/>
        <family val="2"/>
      </rPr>
      <t>circulation airflow</t>
    </r>
    <r>
      <rPr>
        <sz val="10"/>
        <color theme="1"/>
        <rFont val="Arial"/>
        <family val="2"/>
      </rPr>
      <t xml:space="preserve"> according to:</t>
    </r>
  </si>
  <si>
    <t>(GG.15)</t>
  </si>
  <si>
    <t>This is:</t>
  </si>
  <si>
    <t>is a constant</t>
  </si>
  <si>
    <r>
      <t>A</t>
    </r>
    <r>
      <rPr>
        <i/>
        <vertAlign val="subscript"/>
        <sz val="11"/>
        <color theme="1"/>
        <rFont val="Calibri"/>
        <family val="2"/>
        <scheme val="minor"/>
      </rPr>
      <t>0</t>
    </r>
  </si>
  <si>
    <r>
      <t>is the discharge area of the airflow in m</t>
    </r>
    <r>
      <rPr>
        <sz val="6"/>
        <color theme="1"/>
        <rFont val="Arial"/>
        <family val="2"/>
      </rPr>
      <t>2</t>
    </r>
    <r>
      <rPr>
        <sz val="10"/>
        <color theme="1"/>
        <rFont val="Times New Roman"/>
        <family val="1"/>
      </rPr>
      <t>. The value is the nominal face area of the outlet. The grille area shall not be deducted;</t>
    </r>
  </si>
  <si>
    <t>is a constant based on leaking the total charge in 4 minutes;</t>
  </si>
  <si>
    <r>
      <t xml:space="preserve">is the actual </t>
    </r>
    <r>
      <rPr>
        <b/>
        <sz val="10"/>
        <color theme="1"/>
        <rFont val="Arial"/>
        <family val="2"/>
      </rPr>
      <t>refrigerant charge</t>
    </r>
    <r>
      <rPr>
        <sz val="10"/>
        <color theme="1"/>
        <rFont val="Times New Roman"/>
        <family val="1"/>
      </rPr>
      <t xml:space="preserve"> amount in the system in kg;</t>
    </r>
  </si>
  <si>
    <r>
      <t>LFL</t>
    </r>
    <r>
      <rPr>
        <sz val="10"/>
        <color theme="1"/>
        <rFont val="Times New Roman"/>
        <family val="1"/>
      </rPr>
      <t xml:space="preserve"> </t>
    </r>
  </si>
  <si>
    <r>
      <t xml:space="preserve">is the </t>
    </r>
    <r>
      <rPr>
        <b/>
        <sz val="11"/>
        <color theme="1"/>
        <rFont val="Calibri"/>
        <family val="2"/>
        <scheme val="minor"/>
      </rPr>
      <t>lower flammability limit</t>
    </r>
    <r>
      <rPr>
        <sz val="11"/>
        <color theme="1"/>
        <rFont val="Calibri"/>
        <family val="2"/>
        <scheme val="minor"/>
      </rPr>
      <t xml:space="preserve"> in kg/m</t>
    </r>
    <r>
      <rPr>
        <vertAlign val="superscript"/>
        <sz val="11"/>
        <color theme="1"/>
        <rFont val="Calibri"/>
        <family val="2"/>
        <scheme val="minor"/>
      </rPr>
      <t>3</t>
    </r>
    <r>
      <rPr>
        <sz val="11"/>
        <color theme="1"/>
        <rFont val="Calibri"/>
        <family val="2"/>
        <scheme val="minor"/>
      </rPr>
      <t>;</t>
    </r>
  </si>
  <si>
    <t xml:space="preserve">Y </t>
  </si>
  <si>
    <r>
      <t xml:space="preserve">is a constant, if there are leak sources outside the unit </t>
    </r>
    <r>
      <rPr>
        <i/>
        <sz val="10"/>
        <color theme="1"/>
        <rFont val="Times New Roman"/>
        <family val="1"/>
      </rPr>
      <t>Y</t>
    </r>
    <r>
      <rPr>
        <sz val="10"/>
        <color theme="1"/>
        <rFont val="Times New Roman"/>
        <family val="1"/>
      </rPr>
      <t xml:space="preserve"> = 1,5, otherwise </t>
    </r>
    <r>
      <rPr>
        <i/>
        <sz val="10"/>
        <color theme="1"/>
        <rFont val="Times New Roman"/>
        <family val="1"/>
      </rPr>
      <t>Y</t>
    </r>
    <r>
      <rPr>
        <sz val="10"/>
        <color theme="1"/>
        <rFont val="Times New Roman"/>
        <family val="1"/>
      </rPr>
      <t xml:space="preserve"> = 1; </t>
    </r>
  </si>
  <si>
    <r>
      <t>CF</t>
    </r>
    <r>
      <rPr>
        <sz val="10"/>
        <color theme="1"/>
        <rFont val="Times New Roman"/>
        <family val="1"/>
      </rPr>
      <t xml:space="preserve"> </t>
    </r>
  </si>
  <si>
    <r>
      <t xml:space="preserve">is a concentration factor specified by the manufacturer and not exceeding 0,5. The value shall be the value as used in Equation (GG.13) and Equation (GG.14) for calculating </t>
    </r>
    <r>
      <rPr>
        <i/>
        <sz val="11"/>
        <color theme="1"/>
        <rFont val="Calibri"/>
        <family val="2"/>
        <scheme val="minor"/>
      </rPr>
      <t>m</t>
    </r>
    <r>
      <rPr>
        <vertAlign val="subscript"/>
        <sz val="11"/>
        <color theme="1"/>
        <rFont val="Calibri"/>
        <family val="2"/>
        <scheme val="minor"/>
      </rPr>
      <t>max</t>
    </r>
    <r>
      <rPr>
        <sz val="11"/>
        <color theme="1"/>
        <rFont val="Calibri"/>
        <family val="2"/>
        <scheme val="minor"/>
      </rPr>
      <t xml:space="preserve"> and </t>
    </r>
    <r>
      <rPr>
        <i/>
        <sz val="11"/>
        <color theme="1"/>
        <rFont val="Calibri"/>
        <family val="2"/>
        <scheme val="minor"/>
      </rPr>
      <t>A</t>
    </r>
    <r>
      <rPr>
        <vertAlign val="subscript"/>
        <sz val="11"/>
        <color theme="1"/>
        <rFont val="Calibri"/>
        <family val="2"/>
        <scheme val="minor"/>
      </rPr>
      <t>min</t>
    </r>
    <r>
      <rPr>
        <sz val="11"/>
        <color theme="1"/>
        <rFont val="Calibri"/>
        <family val="2"/>
        <scheme val="minor"/>
      </rPr>
      <t>.</t>
    </r>
  </si>
  <si>
    <t>GG.4</t>
  </si>
  <si>
    <t>Requirements for mechanical ventilation within the appliance enclosure</t>
  </si>
  <si>
    <r>
      <t>The negative pressure measurement in the interior of the appliance</t>
    </r>
    <r>
      <rPr>
        <b/>
        <sz val="10"/>
        <color theme="1"/>
        <rFont val="Arial"/>
        <family val="2"/>
      </rPr>
      <t xml:space="preserve"> </t>
    </r>
    <r>
      <rPr>
        <sz val="10"/>
        <color theme="1"/>
        <rFont val="Arial"/>
        <family val="2"/>
      </rPr>
      <t xml:space="preserve">enclosure shall be 20 Pa or more and the flow rate to the exterior shall be at least </t>
    </r>
    <r>
      <rPr>
        <i/>
        <sz val="10"/>
        <color theme="1"/>
        <rFont val="Times New Roman"/>
        <family val="1"/>
      </rPr>
      <t>Q</t>
    </r>
    <r>
      <rPr>
        <vertAlign val="subscript"/>
        <sz val="8"/>
        <color theme="1"/>
        <rFont val="Arial"/>
        <family val="2"/>
      </rPr>
      <t>min</t>
    </r>
    <r>
      <rPr>
        <sz val="10"/>
        <color theme="1"/>
        <rFont val="Arial"/>
        <family val="2"/>
      </rPr>
      <t>:</t>
    </r>
  </si>
  <si>
    <r>
      <t>Q</t>
    </r>
    <r>
      <rPr>
        <vertAlign val="subscript"/>
        <sz val="11"/>
        <color theme="1"/>
        <rFont val="Calibri"/>
        <family val="2"/>
        <scheme val="minor"/>
      </rPr>
      <t>min</t>
    </r>
    <r>
      <rPr>
        <sz val="11"/>
        <color theme="1"/>
        <rFont val="Calibri"/>
        <family val="2"/>
        <scheme val="minor"/>
      </rPr>
      <t xml:space="preserve"> = 3 600 × 1 / </t>
    </r>
    <r>
      <rPr>
        <i/>
        <sz val="11"/>
        <color theme="1"/>
        <rFont val="Calibri"/>
        <family val="2"/>
        <scheme val="minor"/>
      </rPr>
      <t>CF</t>
    </r>
    <r>
      <rPr>
        <sz val="11"/>
        <color theme="1"/>
        <rFont val="Calibri"/>
        <family val="2"/>
        <scheme val="minor"/>
      </rPr>
      <t xml:space="preserve"> × 24,5/</t>
    </r>
    <r>
      <rPr>
        <i/>
        <sz val="11"/>
        <color theme="1"/>
        <rFont val="Calibri"/>
        <family val="2"/>
        <scheme val="minor"/>
      </rPr>
      <t>M</t>
    </r>
    <r>
      <rPr>
        <sz val="11"/>
        <color theme="1"/>
        <rFont val="Calibri"/>
        <family val="2"/>
        <scheme val="minor"/>
      </rPr>
      <t xml:space="preserve"> × </t>
    </r>
    <r>
      <rPr>
        <i/>
        <sz val="11"/>
        <color theme="1"/>
        <rFont val="Calibri"/>
        <family val="2"/>
        <scheme val="minor"/>
      </rPr>
      <t>ṁ</t>
    </r>
    <r>
      <rPr>
        <vertAlign val="subscript"/>
        <sz val="11"/>
        <color theme="1"/>
        <rFont val="Calibri"/>
        <family val="2"/>
        <scheme val="minor"/>
      </rPr>
      <t>leak</t>
    </r>
    <r>
      <rPr>
        <sz val="11"/>
        <color theme="1"/>
        <rFont val="Calibri"/>
        <family val="2"/>
        <scheme val="minor"/>
      </rPr>
      <t xml:space="preserve"> (with a minimum of 2 m</t>
    </r>
    <r>
      <rPr>
        <vertAlign val="superscript"/>
        <sz val="11"/>
        <color theme="1"/>
        <rFont val="Calibri"/>
        <family val="2"/>
        <scheme val="minor"/>
      </rPr>
      <t>3</t>
    </r>
    <r>
      <rPr>
        <sz val="11"/>
        <color theme="1"/>
        <rFont val="Calibri"/>
        <family val="2"/>
        <scheme val="minor"/>
      </rPr>
      <t>/h)</t>
    </r>
  </si>
  <si>
    <t>(GG.16)</t>
  </si>
  <si>
    <t>3 600</t>
  </si>
  <si>
    <t>is a conversion of seconds to hours;</t>
  </si>
  <si>
    <r>
      <t>CF</t>
    </r>
    <r>
      <rPr>
        <sz val="10"/>
        <color theme="1"/>
        <rFont val="Arial"/>
        <family val="2"/>
      </rPr>
      <t xml:space="preserve"> </t>
    </r>
  </si>
  <si>
    <t>is a concentration factor with a value of 0,25;</t>
  </si>
  <si>
    <r>
      <t>M</t>
    </r>
    <r>
      <rPr>
        <sz val="10"/>
        <color theme="1"/>
        <rFont val="Arial"/>
        <family val="2"/>
      </rPr>
      <t xml:space="preserve"> </t>
    </r>
  </si>
  <si>
    <t>is the molar mass of refrigerant in kg/kmol;</t>
  </si>
  <si>
    <t>kg/kmol</t>
  </si>
  <si>
    <r>
      <t>Q</t>
    </r>
    <r>
      <rPr>
        <vertAlign val="subscript"/>
        <sz val="11"/>
        <color theme="1"/>
        <rFont val="Calibri"/>
        <family val="2"/>
        <scheme val="minor"/>
      </rPr>
      <t>min</t>
    </r>
  </si>
  <si>
    <r>
      <t>is the minimum required volume flow of the ventilation in m</t>
    </r>
    <r>
      <rPr>
        <vertAlign val="superscript"/>
        <sz val="8"/>
        <color theme="1"/>
        <rFont val="Arial"/>
        <family val="2"/>
      </rPr>
      <t>3</t>
    </r>
    <r>
      <rPr>
        <sz val="10"/>
        <color theme="1"/>
        <rFont val="Arial"/>
        <family val="2"/>
      </rPr>
      <t>/h;</t>
    </r>
  </si>
  <si>
    <t>is the universal gas constant R multiplied by temperature of 298 K (25 °C) and divided by pressure of 101,325 kPa in l/mol;</t>
  </si>
  <si>
    <r>
      <t>ṁ</t>
    </r>
    <r>
      <rPr>
        <vertAlign val="subscript"/>
        <sz val="11"/>
        <color theme="1"/>
        <rFont val="Calibri"/>
        <family val="2"/>
        <scheme val="minor"/>
      </rPr>
      <t>leak</t>
    </r>
  </si>
  <si>
    <t>is the leak rate in kg/s.</t>
  </si>
  <si>
    <r>
      <t xml:space="preserve">For </t>
    </r>
    <r>
      <rPr>
        <b/>
        <sz val="10"/>
        <color theme="1"/>
        <rFont val="Arial"/>
        <family val="2"/>
      </rPr>
      <t>refrigerating systems</t>
    </r>
    <r>
      <rPr>
        <sz val="10"/>
        <color theme="1"/>
        <rFont val="Arial"/>
        <family val="2"/>
      </rPr>
      <t xml:space="preserve"> which are not </t>
    </r>
    <r>
      <rPr>
        <b/>
        <sz val="10"/>
        <color theme="1"/>
        <rFont val="Arial"/>
        <family val="2"/>
      </rPr>
      <t>enhanced tightness refrigerating systems</t>
    </r>
    <r>
      <rPr>
        <sz val="10"/>
        <color theme="1"/>
        <rFont val="Arial"/>
        <family val="2"/>
      </rPr>
      <t xml:space="preserve">, the leak rate, </t>
    </r>
    <r>
      <rPr>
        <i/>
        <sz val="10"/>
        <color theme="1"/>
        <rFont val="Times New Roman"/>
        <family val="1"/>
      </rPr>
      <t>ṁ</t>
    </r>
    <r>
      <rPr>
        <vertAlign val="subscript"/>
        <sz val="8"/>
        <color theme="1"/>
        <rFont val="Times New Roman"/>
        <family val="1"/>
      </rPr>
      <t>leak</t>
    </r>
    <r>
      <rPr>
        <sz val="10"/>
        <color theme="1"/>
        <rFont val="Arial"/>
        <family val="2"/>
      </rPr>
      <t>, shall be determined as:</t>
    </r>
  </si>
  <si>
    <r>
      <t>ṁ</t>
    </r>
    <r>
      <rPr>
        <vertAlign val="subscript"/>
        <sz val="11"/>
        <color theme="1"/>
        <rFont val="Calibri"/>
        <family val="2"/>
        <scheme val="minor"/>
      </rPr>
      <t>leak</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c</t>
    </r>
    <r>
      <rPr>
        <sz val="11"/>
        <color theme="1"/>
        <rFont val="Calibri"/>
        <family val="2"/>
        <scheme val="minor"/>
      </rPr>
      <t xml:space="preserve"> / 240</t>
    </r>
  </si>
  <si>
    <t>(GG.17)</t>
  </si>
  <si>
    <t>kg/s</t>
  </si>
  <si>
    <r>
      <t xml:space="preserve">is the </t>
    </r>
    <r>
      <rPr>
        <b/>
        <sz val="10"/>
        <color theme="1"/>
        <rFont val="Arial"/>
        <family val="2"/>
      </rPr>
      <t>refrigerant charge</t>
    </r>
    <r>
      <rPr>
        <sz val="10"/>
        <color theme="1"/>
        <rFont val="Arial"/>
        <family val="2"/>
      </rPr>
      <t xml:space="preserve"> in kg;</t>
    </r>
  </si>
  <si>
    <t>is the 4 min release time in s.</t>
  </si>
  <si>
    <r>
      <t xml:space="preserve">For </t>
    </r>
    <r>
      <rPr>
        <b/>
        <sz val="10"/>
        <color theme="1"/>
        <rFont val="Arial"/>
        <family val="2"/>
      </rPr>
      <t>enhanced tightness refrigerating systems</t>
    </r>
    <r>
      <rPr>
        <sz val="10"/>
        <color theme="1"/>
        <rFont val="Arial"/>
        <family val="2"/>
      </rPr>
      <t xml:space="preserve">, the leak rate, </t>
    </r>
    <r>
      <rPr>
        <i/>
        <sz val="10"/>
        <color theme="1"/>
        <rFont val="Times New Roman"/>
        <family val="1"/>
      </rPr>
      <t>ṁ</t>
    </r>
    <r>
      <rPr>
        <sz val="8"/>
        <color theme="1"/>
        <rFont val="Times New Roman"/>
        <family val="1"/>
      </rPr>
      <t>leak</t>
    </r>
    <r>
      <rPr>
        <sz val="10"/>
        <color theme="1"/>
        <rFont val="Arial"/>
        <family val="2"/>
      </rPr>
      <t>, shall be determined as:</t>
    </r>
  </si>
  <si>
    <r>
      <t>–</t>
    </r>
    <r>
      <rPr>
        <sz val="7"/>
        <color theme="1"/>
        <rFont val="Times New Roman"/>
        <family val="1"/>
      </rPr>
      <t xml:space="preserve">  </t>
    </r>
    <r>
      <rPr>
        <sz val="10"/>
        <color theme="1"/>
        <rFont val="Arial"/>
        <family val="2"/>
      </rPr>
      <t xml:space="preserve">for </t>
    </r>
    <r>
      <rPr>
        <b/>
        <sz val="10"/>
        <color theme="1"/>
        <rFont val="Arial"/>
        <family val="2"/>
      </rPr>
      <t>A2L refrigerants</t>
    </r>
    <r>
      <rPr>
        <sz val="10"/>
        <color theme="1"/>
        <rFont val="Arial"/>
        <family val="2"/>
      </rPr>
      <t xml:space="preserve"> </t>
    </r>
    <r>
      <rPr>
        <i/>
        <sz val="10"/>
        <color theme="1"/>
        <rFont val="Times New Roman"/>
        <family val="1"/>
      </rPr>
      <t>ṁ</t>
    </r>
    <r>
      <rPr>
        <sz val="8"/>
        <color theme="1"/>
        <rFont val="Times New Roman"/>
        <family val="1"/>
      </rPr>
      <t>leak</t>
    </r>
    <r>
      <rPr>
        <sz val="10"/>
        <color theme="1"/>
        <rFont val="Arial"/>
        <family val="2"/>
      </rPr>
      <t xml:space="preserve">  = 0,00278 kg/s,</t>
    </r>
  </si>
  <si>
    <r>
      <t>–</t>
    </r>
    <r>
      <rPr>
        <sz val="7"/>
        <color theme="1"/>
        <rFont val="Times New Roman"/>
        <family val="1"/>
      </rPr>
      <t xml:space="preserve">  </t>
    </r>
    <r>
      <rPr>
        <sz val="10"/>
        <color theme="1"/>
        <rFont val="Arial"/>
        <family val="2"/>
      </rPr>
      <t>for A2 and A3 refrigerants, the values of GG.14.3.1, Table GG.6 in kg/s.</t>
    </r>
  </si>
  <si>
    <t>GG.7</t>
  </si>
  <si>
    <r>
      <t xml:space="preserve">Factory sealed single package units which are not fixed appliances with a refrigerant charge of </t>
    </r>
    <r>
      <rPr>
        <b/>
        <i/>
        <sz val="10"/>
        <color theme="1"/>
        <rFont val="Times New Roman"/>
        <family val="1"/>
      </rPr>
      <t>m</t>
    </r>
    <r>
      <rPr>
        <b/>
        <sz val="10"/>
        <color theme="1"/>
        <rFont val="Arial"/>
        <family val="2"/>
      </rPr>
      <t xml:space="preserve">1 </t>
    </r>
    <r>
      <rPr>
        <b/>
        <sz val="10"/>
        <color theme="1"/>
        <rFont val="Symbol"/>
        <family val="1"/>
        <charset val="2"/>
      </rPr>
      <t>&lt;</t>
    </r>
    <r>
      <rPr>
        <b/>
        <i/>
        <sz val="10"/>
        <color theme="1"/>
        <rFont val="Arial"/>
        <family val="2"/>
      </rPr>
      <t xml:space="preserve"> </t>
    </r>
    <r>
      <rPr>
        <b/>
        <i/>
        <sz val="10"/>
        <color theme="1"/>
        <rFont val="Times New Roman"/>
        <family val="1"/>
      </rPr>
      <t>m</t>
    </r>
    <r>
      <rPr>
        <b/>
        <sz val="10"/>
        <color theme="1"/>
        <rFont val="Arial"/>
        <family val="2"/>
      </rPr>
      <t xml:space="preserve">c </t>
    </r>
    <r>
      <rPr>
        <b/>
        <sz val="10"/>
        <color theme="1"/>
        <rFont val="Symbol"/>
        <family val="1"/>
        <charset val="2"/>
      </rPr>
      <t>£</t>
    </r>
    <r>
      <rPr>
        <b/>
        <sz val="10"/>
        <color theme="1"/>
        <rFont val="Arial"/>
        <family val="2"/>
      </rPr>
      <t xml:space="preserve"> 2 </t>
    </r>
    <r>
      <rPr>
        <b/>
        <sz val="10"/>
        <color theme="1"/>
        <rFont val="Symbol"/>
        <family val="1"/>
        <charset val="2"/>
      </rPr>
      <t>´</t>
    </r>
    <r>
      <rPr>
        <b/>
        <sz val="10"/>
        <color theme="1"/>
        <rFont val="Arial"/>
        <family val="2"/>
      </rPr>
      <t> </t>
    </r>
    <r>
      <rPr>
        <b/>
        <i/>
        <sz val="10"/>
        <color theme="1"/>
        <rFont val="Times New Roman"/>
        <family val="1"/>
      </rPr>
      <t>m</t>
    </r>
    <r>
      <rPr>
        <b/>
        <sz val="10"/>
        <color theme="1"/>
        <rFont val="Arial"/>
        <family val="2"/>
      </rPr>
      <t>1</t>
    </r>
  </si>
  <si>
    <t>GG.7.1</t>
  </si>
  <si>
    <t>Determination of refrigerant charge</t>
  </si>
  <si>
    <t>(GG.18)</t>
  </si>
  <si>
    <r>
      <t xml:space="preserve">or the required minimum room area, </t>
    </r>
    <r>
      <rPr>
        <i/>
        <sz val="10"/>
        <color theme="1"/>
        <rFont val="Times New Roman"/>
        <family val="1"/>
      </rPr>
      <t>A</t>
    </r>
    <r>
      <rPr>
        <sz val="8"/>
        <color theme="1"/>
        <rFont val="Arial"/>
        <family val="2"/>
      </rPr>
      <t>min</t>
    </r>
    <r>
      <rPr>
        <sz val="10"/>
        <color theme="1"/>
        <rFont val="Arial"/>
        <family val="2"/>
      </rPr>
      <t xml:space="preserve">, to install an appliance with </t>
    </r>
    <r>
      <rPr>
        <b/>
        <sz val="10"/>
        <color theme="1"/>
        <rFont val="Arial"/>
        <family val="2"/>
      </rPr>
      <t>refrigerant charge</t>
    </r>
    <r>
      <rPr>
        <i/>
        <sz val="10"/>
        <color theme="1"/>
        <rFont val="Arial"/>
        <family val="2"/>
      </rPr>
      <t xml:space="preserve"> </t>
    </r>
    <r>
      <rPr>
        <i/>
        <sz val="10"/>
        <color theme="1"/>
        <rFont val="Times New Roman"/>
        <family val="1"/>
      </rPr>
      <t>m</t>
    </r>
    <r>
      <rPr>
        <sz val="8"/>
        <color theme="1"/>
        <rFont val="Arial"/>
        <family val="2"/>
      </rPr>
      <t>c</t>
    </r>
    <r>
      <rPr>
        <sz val="10"/>
        <color theme="1"/>
        <rFont val="Arial"/>
        <family val="2"/>
      </rPr>
      <t xml:space="preserve"> shall be in accordance with the following:</t>
    </r>
  </si>
  <si>
    <t>(GG.19)</t>
  </si>
  <si>
    <r>
      <t xml:space="preserve">is the </t>
    </r>
    <r>
      <rPr>
        <b/>
        <sz val="10"/>
        <color theme="1"/>
        <rFont val="Arial"/>
        <family val="2"/>
      </rPr>
      <t>refrigerant charge</t>
    </r>
    <r>
      <rPr>
        <sz val="10"/>
        <color theme="1"/>
        <rFont val="Arial"/>
        <family val="2"/>
      </rPr>
      <t xml:space="preserve"> in the appliance in kg;</t>
    </r>
  </si>
  <si>
    <r>
      <t xml:space="preserve">is the </t>
    </r>
    <r>
      <rPr>
        <b/>
        <sz val="10"/>
        <color theme="1"/>
        <rFont val="Arial"/>
        <family val="2"/>
      </rPr>
      <t>lower flammability limit</t>
    </r>
    <r>
      <rPr>
        <sz val="10"/>
        <color theme="1"/>
        <rFont val="Arial"/>
        <family val="2"/>
      </rPr>
      <t xml:space="preserve"> in kg/m</t>
    </r>
    <r>
      <rPr>
        <vertAlign val="superscript"/>
        <sz val="8"/>
        <color theme="1"/>
        <rFont val="Arial"/>
        <family val="2"/>
      </rPr>
      <t>3</t>
    </r>
    <r>
      <rPr>
        <sz val="10"/>
        <color theme="1"/>
        <rFont val="Arial"/>
        <family val="2"/>
      </rPr>
      <t>;</t>
    </r>
  </si>
  <si>
    <t>is the minimum ceiling height employed in metres (m).</t>
  </si>
  <si>
    <t>GG.8</t>
  </si>
  <si>
    <t>Ventilated area requirements for appliances using A2L refrigerants</t>
  </si>
  <si>
    <t>GG.8.2</t>
  </si>
  <si>
    <t xml:space="preserve">Natural ventilation to outdoors </t>
  </si>
  <si>
    <r>
      <t xml:space="preserve">The </t>
    </r>
    <r>
      <rPr>
        <b/>
        <sz val="11"/>
        <color theme="1"/>
        <rFont val="Calibri"/>
        <family val="2"/>
        <scheme val="minor"/>
      </rPr>
      <t>maximum refrigerant charge</t>
    </r>
    <r>
      <rPr>
        <sz val="11"/>
        <color theme="1"/>
        <rFont val="Calibri"/>
        <family val="2"/>
        <scheme val="minor"/>
      </rPr>
      <t xml:space="preserve"> of a system, </t>
    </r>
    <r>
      <rPr>
        <i/>
        <sz val="11"/>
        <color theme="1"/>
        <rFont val="Calibri"/>
        <family val="2"/>
        <scheme val="minor"/>
      </rPr>
      <t>m</t>
    </r>
    <r>
      <rPr>
        <vertAlign val="subscript"/>
        <sz val="11"/>
        <color theme="1"/>
        <rFont val="Calibri"/>
        <family val="2"/>
        <scheme val="minor"/>
      </rPr>
      <t>max</t>
    </r>
    <r>
      <rPr>
        <sz val="11"/>
        <color theme="1"/>
        <rFont val="Calibri"/>
        <family val="2"/>
        <scheme val="minor"/>
      </rPr>
      <t xml:space="preserve">, and minimum opening area, </t>
    </r>
    <r>
      <rPr>
        <i/>
        <sz val="11"/>
        <color theme="1"/>
        <rFont val="Calibri"/>
        <family val="2"/>
        <scheme val="minor"/>
      </rPr>
      <t>A</t>
    </r>
    <r>
      <rPr>
        <vertAlign val="subscript"/>
        <sz val="11"/>
        <color theme="1"/>
        <rFont val="Calibri"/>
        <family val="2"/>
        <scheme val="minor"/>
      </rPr>
      <t>nv,min</t>
    </r>
    <r>
      <rPr>
        <sz val="11"/>
        <color theme="1"/>
        <rFont val="Calibri"/>
        <family val="2"/>
        <scheme val="minor"/>
      </rPr>
      <t>, for natural ventilation to outdoors shall be calculated using the following equations:</t>
    </r>
  </si>
  <si>
    <t>(GG.20)</t>
  </si>
  <si>
    <t>(GG.21)</t>
  </si>
  <si>
    <r>
      <t xml:space="preserve">is the </t>
    </r>
    <r>
      <rPr>
        <b/>
        <sz val="10"/>
        <color theme="1"/>
        <rFont val="Arial"/>
        <family val="2"/>
      </rPr>
      <t>refrigerant charge</t>
    </r>
    <r>
      <rPr>
        <sz val="10"/>
        <color theme="1"/>
        <rFont val="Arial"/>
        <family val="2"/>
      </rPr>
      <t xml:space="preserve"> of a system in kg;</t>
    </r>
  </si>
  <si>
    <r>
      <t>A</t>
    </r>
    <r>
      <rPr>
        <vertAlign val="subscript"/>
        <sz val="11"/>
        <color theme="1"/>
        <rFont val="Calibri"/>
        <family val="2"/>
        <scheme val="minor"/>
      </rPr>
      <t>nv</t>
    </r>
  </si>
  <si>
    <r>
      <t>is the opening area in m</t>
    </r>
    <r>
      <rPr>
        <vertAlign val="superscript"/>
        <sz val="8"/>
        <color theme="1"/>
        <rFont val="Arial"/>
        <family val="2"/>
      </rPr>
      <t>2</t>
    </r>
    <r>
      <rPr>
        <sz val="10"/>
        <color theme="1"/>
        <rFont val="Arial"/>
        <family val="2"/>
      </rPr>
      <t>;</t>
    </r>
  </si>
  <si>
    <r>
      <t>LFL</t>
    </r>
    <r>
      <rPr>
        <i/>
        <sz val="10"/>
        <color theme="1"/>
        <rFont val="Arial"/>
        <family val="2"/>
      </rPr>
      <t xml:space="preserve"> </t>
    </r>
  </si>
  <si>
    <r>
      <t xml:space="preserve">is the </t>
    </r>
    <r>
      <rPr>
        <b/>
        <sz val="10"/>
        <color theme="1"/>
        <rFont val="Arial"/>
        <family val="2"/>
      </rPr>
      <t>lower flammability limit</t>
    </r>
    <r>
      <rPr>
        <sz val="10"/>
        <color theme="1"/>
        <rFont val="Arial"/>
        <family val="2"/>
      </rPr>
      <t xml:space="preserve"> in kg/m</t>
    </r>
    <r>
      <rPr>
        <vertAlign val="superscript"/>
        <sz val="8"/>
        <color theme="1"/>
        <rFont val="Arial"/>
        <family val="2"/>
      </rPr>
      <t>3</t>
    </r>
    <r>
      <rPr>
        <i/>
        <sz val="10"/>
        <color theme="1"/>
        <rFont val="Arial"/>
        <family val="2"/>
      </rPr>
      <t>;</t>
    </r>
  </si>
  <si>
    <t>is a constant derived from the gravity acceleration, flow coefficient, etc.;</t>
  </si>
  <si>
    <r>
      <t xml:space="preserve">is the conversion constant from hydrocarbon to other </t>
    </r>
    <r>
      <rPr>
        <b/>
        <i/>
        <sz val="10"/>
        <color theme="1"/>
        <rFont val="Arial"/>
        <family val="2"/>
      </rPr>
      <t>LFL</t>
    </r>
    <r>
      <rPr>
        <sz val="10"/>
        <color theme="1"/>
        <rFont val="Arial"/>
        <family val="2"/>
      </rPr>
      <t>.</t>
    </r>
  </si>
  <si>
    <t>GG.8.3</t>
  </si>
  <si>
    <t>Mechanical ventilation requirements for rooms with appliances using A2L refrigerants</t>
  </si>
  <si>
    <t>The airflow shall be calculated using of the formula below. Losses caused by ducts or other components in the air stream have to be considered.</t>
  </si>
  <si>
    <t>(GG.22)</t>
  </si>
  <si>
    <r>
      <t>Q</t>
    </r>
    <r>
      <rPr>
        <vertAlign val="subscript"/>
        <sz val="10"/>
        <color theme="1"/>
        <rFont val="Times New Roman"/>
        <family val="1"/>
      </rPr>
      <t>min</t>
    </r>
  </si>
  <si>
    <r>
      <t>is the required airflow volume in m</t>
    </r>
    <r>
      <rPr>
        <vertAlign val="superscript"/>
        <sz val="8"/>
        <color theme="1"/>
        <rFont val="Arial"/>
        <family val="2"/>
      </rPr>
      <t>3</t>
    </r>
    <r>
      <rPr>
        <sz val="10"/>
        <color theme="1"/>
        <rFont val="Arial"/>
        <family val="2"/>
      </rPr>
      <t>/h;</t>
    </r>
  </si>
  <si>
    <r>
      <t xml:space="preserve">is the </t>
    </r>
    <r>
      <rPr>
        <b/>
        <sz val="10"/>
        <color theme="1"/>
        <rFont val="Arial"/>
        <family val="2"/>
      </rPr>
      <t>maximum refrigerant charge</t>
    </r>
    <r>
      <rPr>
        <sz val="10"/>
        <color theme="1"/>
        <rFont val="Arial"/>
        <family val="2"/>
      </rPr>
      <t xml:space="preserve"> for the system in the room in kg according to Equation (GG.8) or </t>
    </r>
    <r>
      <rPr>
        <i/>
        <sz val="10"/>
        <color theme="1"/>
        <rFont val="Times New Roman"/>
        <family val="1"/>
      </rPr>
      <t>m</t>
    </r>
    <r>
      <rPr>
        <vertAlign val="subscript"/>
        <sz val="8"/>
        <color theme="1"/>
        <rFont val="Arial"/>
        <family val="2"/>
      </rPr>
      <t>2</t>
    </r>
    <r>
      <rPr>
        <sz val="10"/>
        <color theme="1"/>
        <rFont val="Arial"/>
        <family val="2"/>
      </rPr>
      <t>, whichever is lower, or Clause GG.9 where applicable;</t>
    </r>
  </si>
  <si>
    <r>
      <t>NOTE m</t>
    </r>
    <r>
      <rPr>
        <vertAlign val="subscript"/>
        <sz val="10"/>
        <color theme="1"/>
        <rFont val="Arial"/>
        <family val="2"/>
      </rPr>
      <t>2</t>
    </r>
    <r>
      <rPr>
        <sz val="10"/>
        <color theme="1"/>
        <rFont val="Arial"/>
        <family val="2"/>
      </rPr>
      <t xml:space="preserve"> is</t>
    </r>
  </si>
  <si>
    <r>
      <t xml:space="preserve">is the actual </t>
    </r>
    <r>
      <rPr>
        <b/>
        <sz val="10"/>
        <color theme="1"/>
        <rFont val="Arial"/>
        <family val="2"/>
      </rPr>
      <t>refrigerant charge</t>
    </r>
    <r>
      <rPr>
        <sz val="10"/>
        <color theme="1"/>
        <rFont val="Arial"/>
        <family val="2"/>
      </rPr>
      <t xml:space="preserve"> of a single </t>
    </r>
    <r>
      <rPr>
        <b/>
        <sz val="10"/>
        <color theme="1"/>
        <rFont val="Arial"/>
        <family val="2"/>
      </rPr>
      <t>refrigerating system</t>
    </r>
    <r>
      <rPr>
        <sz val="10"/>
        <color theme="1"/>
        <rFont val="Arial"/>
        <family val="2"/>
      </rPr>
      <t xml:space="preserve"> expressed in kg;</t>
    </r>
  </si>
  <si>
    <t>is the assumed leak time (4 min);</t>
  </si>
  <si>
    <t>is a safety factor of 2;</t>
  </si>
  <si>
    <t>is the conversion minutes to hours;</t>
  </si>
  <si>
    <r>
      <t xml:space="preserve">Mechanical ventilation shall be made to the outdoor or an indoor space where the room area is larger than the minimum area of the room which the mechanical ventilation exhausts into, </t>
    </r>
    <r>
      <rPr>
        <i/>
        <sz val="11"/>
        <color theme="1"/>
        <rFont val="Calibri"/>
        <family val="2"/>
        <scheme val="minor"/>
      </rPr>
      <t>EA</t>
    </r>
    <r>
      <rPr>
        <vertAlign val="subscript"/>
        <sz val="11"/>
        <color theme="1"/>
        <rFont val="Calibri"/>
        <family val="2"/>
        <scheme val="minor"/>
      </rPr>
      <t>min</t>
    </r>
    <r>
      <rPr>
        <sz val="11"/>
        <color theme="1"/>
        <rFont val="Calibri"/>
        <family val="2"/>
        <scheme val="minor"/>
      </rPr>
      <t>, calculated using the following equation:</t>
    </r>
  </si>
  <si>
    <r>
      <t>EA</t>
    </r>
    <r>
      <rPr>
        <vertAlign val="subscript"/>
        <sz val="11"/>
        <color theme="1"/>
        <rFont val="Calibri"/>
        <family val="2"/>
        <scheme val="minor"/>
      </rPr>
      <t>min</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c</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max</t>
    </r>
    <r>
      <rPr>
        <sz val="11"/>
        <color theme="1"/>
        <rFont val="Calibri"/>
        <family val="2"/>
        <scheme val="minor"/>
      </rPr>
      <t>)/(</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H</t>
    </r>
    <r>
      <rPr>
        <sz val="11"/>
        <color theme="1"/>
        <rFont val="Calibri"/>
        <family val="2"/>
        <scheme val="minor"/>
      </rPr>
      <t>)</t>
    </r>
  </si>
  <si>
    <t>(GG.23)</t>
  </si>
  <si>
    <r>
      <t>m</t>
    </r>
    <r>
      <rPr>
        <vertAlign val="superscript"/>
        <sz val="11"/>
        <color theme="1"/>
        <rFont val="Calibri"/>
        <family val="2"/>
        <scheme val="minor"/>
      </rPr>
      <t>3</t>
    </r>
  </si>
  <si>
    <t>is the concentration factor with a value of 0,25;</t>
  </si>
  <si>
    <r>
      <t xml:space="preserve">is the allowable </t>
    </r>
    <r>
      <rPr>
        <b/>
        <sz val="10"/>
        <color theme="1"/>
        <rFont val="Arial"/>
        <family val="2"/>
      </rPr>
      <t>maximum refrigerant charge</t>
    </r>
    <r>
      <rPr>
        <sz val="10"/>
        <color theme="1"/>
        <rFont val="Arial"/>
        <family val="2"/>
      </rPr>
      <t xml:space="preserve"> for the system in the room in kg;</t>
    </r>
  </si>
  <si>
    <r>
      <t>H</t>
    </r>
    <r>
      <rPr>
        <sz val="10"/>
        <color theme="1"/>
        <rFont val="Arial"/>
        <family val="2"/>
      </rPr>
      <t xml:space="preserve"> </t>
    </r>
  </si>
  <si>
    <t>is the height of the room = 2,2 m;</t>
  </si>
  <si>
    <t>GG.9</t>
  </si>
  <si>
    <t xml:space="preserve">Charge limits for appliances using A2L refrigerants connected via an air duct system to one or more rooms </t>
  </si>
  <si>
    <t>GG.9.1</t>
  </si>
  <si>
    <t>The minimum airflow shall be determined as:</t>
  </si>
  <si>
    <r>
      <t>Q</t>
    </r>
    <r>
      <rPr>
        <vertAlign val="subscript"/>
        <sz val="11"/>
        <color theme="1"/>
        <rFont val="Calibri"/>
        <family val="2"/>
        <scheme val="minor"/>
      </rPr>
      <t>min</t>
    </r>
    <r>
      <rPr>
        <sz val="11"/>
        <color theme="1"/>
        <rFont val="Calibri"/>
        <family val="2"/>
        <scheme val="minor"/>
      </rPr>
      <t xml:space="preserve"> = 60 × </t>
    </r>
    <r>
      <rPr>
        <i/>
        <sz val="11"/>
        <color theme="1"/>
        <rFont val="Calibri"/>
        <family val="2"/>
        <scheme val="minor"/>
      </rPr>
      <t>m</t>
    </r>
    <r>
      <rPr>
        <vertAlign val="subscript"/>
        <sz val="11"/>
        <color theme="1"/>
        <rFont val="Calibri"/>
        <family val="2"/>
        <scheme val="minor"/>
      </rPr>
      <t>c</t>
    </r>
    <r>
      <rPr>
        <sz val="11"/>
        <color theme="1"/>
        <rFont val="Calibri"/>
        <family val="2"/>
        <scheme val="minor"/>
      </rPr>
      <t xml:space="preserve"> / </t>
    </r>
    <r>
      <rPr>
        <i/>
        <sz val="11"/>
        <color theme="1"/>
        <rFont val="Calibri"/>
        <family val="2"/>
        <scheme val="minor"/>
      </rPr>
      <t>LFL</t>
    </r>
  </si>
  <si>
    <t>(GG.24)</t>
  </si>
  <si>
    <r>
      <t xml:space="preserve">is the minimum </t>
    </r>
    <r>
      <rPr>
        <b/>
        <sz val="10"/>
        <color theme="1"/>
        <rFont val="Arial"/>
        <family val="2"/>
      </rPr>
      <t>circulation airflow</t>
    </r>
    <r>
      <rPr>
        <sz val="10"/>
        <color theme="1"/>
        <rFont val="Arial"/>
        <family val="2"/>
      </rPr>
      <t xml:space="preserve"> circulated to the total conditioned space in m</t>
    </r>
    <r>
      <rPr>
        <sz val="8"/>
        <color theme="1"/>
        <rFont val="Arial"/>
        <family val="2"/>
      </rPr>
      <t>3</t>
    </r>
    <r>
      <rPr>
        <sz val="10"/>
        <color theme="1"/>
        <rFont val="Arial"/>
        <family val="2"/>
      </rPr>
      <t>/h;</t>
    </r>
  </si>
  <si>
    <r>
      <t xml:space="preserve">is the actual </t>
    </r>
    <r>
      <rPr>
        <b/>
        <sz val="10"/>
        <color theme="1"/>
        <rFont val="Arial"/>
        <family val="2"/>
      </rPr>
      <t>refrigerant charge</t>
    </r>
    <r>
      <rPr>
        <sz val="10"/>
        <color theme="1"/>
        <rFont val="Arial"/>
        <family val="2"/>
      </rPr>
      <t xml:space="preserve"> for a single </t>
    </r>
    <r>
      <rPr>
        <b/>
        <sz val="10"/>
        <color theme="1"/>
        <rFont val="Arial"/>
        <family val="2"/>
      </rPr>
      <t>refrigerating system</t>
    </r>
    <r>
      <rPr>
        <sz val="10"/>
        <color theme="1"/>
        <rFont val="Arial"/>
        <family val="2"/>
      </rPr>
      <t xml:space="preserve"> expressed in kg;</t>
    </r>
  </si>
  <si>
    <r>
      <t xml:space="preserve">is the </t>
    </r>
    <r>
      <rPr>
        <b/>
        <sz val="10"/>
        <color theme="1"/>
        <rFont val="Arial"/>
        <family val="2"/>
      </rPr>
      <t>lower flammability limit</t>
    </r>
    <r>
      <rPr>
        <sz val="10"/>
        <color theme="1"/>
        <rFont val="Arial"/>
        <family val="2"/>
      </rPr>
      <t xml:space="preserve"> in kg/m</t>
    </r>
    <r>
      <rPr>
        <sz val="8"/>
        <color theme="1"/>
        <rFont val="Arial"/>
        <family val="2"/>
      </rPr>
      <t>2</t>
    </r>
    <r>
      <rPr>
        <sz val="10"/>
        <color theme="1"/>
        <rFont val="Arial"/>
        <family val="2"/>
      </rPr>
      <t>.</t>
    </r>
  </si>
  <si>
    <r>
      <t xml:space="preserve">The </t>
    </r>
    <r>
      <rPr>
        <b/>
        <sz val="10"/>
        <color theme="1"/>
        <rFont val="Arial"/>
        <family val="2"/>
      </rPr>
      <t>maximum refrigerant charge</t>
    </r>
    <r>
      <rPr>
        <sz val="10"/>
        <color theme="1"/>
        <rFont val="Arial"/>
        <family val="2"/>
      </rPr>
      <t xml:space="preserve"> based on the room area for the total conditioned space shall be in accordance with the following:</t>
    </r>
  </si>
  <si>
    <r>
      <t>m</t>
    </r>
    <r>
      <rPr>
        <i/>
        <vertAlign val="subscript"/>
        <sz val="11"/>
        <color theme="1"/>
        <rFont val="Calibri"/>
        <family val="2"/>
        <scheme val="minor"/>
      </rPr>
      <t>max</t>
    </r>
    <r>
      <rPr>
        <i/>
        <sz val="11"/>
        <color theme="1"/>
        <rFont val="Calibri"/>
        <family val="2"/>
        <scheme val="minor"/>
      </rPr>
      <t xml:space="preserve"> = CF × LFL × H × TA </t>
    </r>
  </si>
  <si>
    <t>(GG.25)</t>
  </si>
  <si>
    <r>
      <t xml:space="preserve">or the required minimum total conditioned room area </t>
    </r>
    <r>
      <rPr>
        <i/>
        <sz val="10"/>
        <color theme="1"/>
        <rFont val="Times New Roman"/>
        <family val="1"/>
      </rPr>
      <t>TA</t>
    </r>
    <r>
      <rPr>
        <sz val="8"/>
        <color theme="1"/>
        <rFont val="Arial"/>
        <family val="2"/>
      </rPr>
      <t>min</t>
    </r>
    <r>
      <rPr>
        <sz val="10"/>
        <color theme="1"/>
        <rFont val="Arial"/>
        <family val="2"/>
      </rPr>
      <t xml:space="preserve"> of installed appliance with </t>
    </r>
    <r>
      <rPr>
        <b/>
        <sz val="10"/>
        <color theme="1"/>
        <rFont val="Arial"/>
        <family val="2"/>
      </rPr>
      <t>refrigerant charge</t>
    </r>
    <r>
      <rPr>
        <sz val="10"/>
        <color theme="1"/>
        <rFont val="Arial"/>
        <family val="2"/>
      </rPr>
      <t xml:space="preserve"> </t>
    </r>
    <r>
      <rPr>
        <i/>
        <sz val="10"/>
        <color theme="1"/>
        <rFont val="Times New Roman"/>
        <family val="1"/>
      </rPr>
      <t>m</t>
    </r>
    <r>
      <rPr>
        <sz val="8"/>
        <color theme="1"/>
        <rFont val="Arial"/>
        <family val="2"/>
      </rPr>
      <t>c</t>
    </r>
    <r>
      <rPr>
        <i/>
        <sz val="10"/>
        <color theme="1"/>
        <rFont val="Arial"/>
        <family val="2"/>
      </rPr>
      <t xml:space="preserve"> </t>
    </r>
    <r>
      <rPr>
        <sz val="10"/>
        <color theme="1"/>
        <rFont val="Arial"/>
        <family val="2"/>
      </rPr>
      <t>(kg) shall be in accordance with following:</t>
    </r>
  </si>
  <si>
    <r>
      <t>TA</t>
    </r>
    <r>
      <rPr>
        <i/>
        <vertAlign val="subscript"/>
        <sz val="11"/>
        <color theme="1"/>
        <rFont val="Calibri"/>
        <family val="2"/>
        <scheme val="minor"/>
      </rPr>
      <t>min</t>
    </r>
    <r>
      <rPr>
        <i/>
        <sz val="11"/>
        <color theme="1"/>
        <rFont val="Calibri"/>
        <family val="2"/>
        <scheme val="minor"/>
      </rPr>
      <t xml:space="preserve"> = m</t>
    </r>
    <r>
      <rPr>
        <i/>
        <vertAlign val="subscript"/>
        <sz val="11"/>
        <color theme="1"/>
        <rFont val="Calibri"/>
        <family val="2"/>
        <scheme val="minor"/>
      </rPr>
      <t>c</t>
    </r>
    <r>
      <rPr>
        <i/>
        <sz val="11"/>
        <color theme="1"/>
        <rFont val="Calibri"/>
        <family val="2"/>
        <scheme val="minor"/>
      </rPr>
      <t>/(CF × LFL × H)</t>
    </r>
  </si>
  <si>
    <t>(GG.26)</t>
  </si>
  <si>
    <r>
      <t>CF</t>
    </r>
    <r>
      <rPr>
        <sz val="10"/>
        <color rgb="FF000000"/>
        <rFont val="Arial"/>
        <family val="2"/>
      </rPr>
      <t xml:space="preserve"> </t>
    </r>
  </si>
  <si>
    <r>
      <t xml:space="preserve">is the concentration factor </t>
    </r>
    <r>
      <rPr>
        <sz val="10"/>
        <color theme="1"/>
        <rFont val="Arial"/>
        <family val="2"/>
      </rPr>
      <t>with a value</t>
    </r>
    <r>
      <rPr>
        <sz val="10"/>
        <color rgb="FF000000"/>
        <rFont val="Arial"/>
        <family val="2"/>
      </rPr>
      <t xml:space="preserve"> of 0,50;</t>
    </r>
  </si>
  <si>
    <r>
      <t xml:space="preserve">is the allowable </t>
    </r>
    <r>
      <rPr>
        <b/>
        <sz val="10"/>
        <color rgb="FF000000"/>
        <rFont val="Arial"/>
        <family val="2"/>
      </rPr>
      <t>maximum refrigerant charge</t>
    </r>
    <r>
      <rPr>
        <sz val="10"/>
        <color rgb="FF000000"/>
        <rFont val="Arial"/>
        <family val="2"/>
      </rPr>
      <t xml:space="preserve"> in the system in kg;</t>
    </r>
  </si>
  <si>
    <r>
      <t xml:space="preserve">is the </t>
    </r>
    <r>
      <rPr>
        <b/>
        <sz val="10"/>
        <color rgb="FF000000"/>
        <rFont val="Arial"/>
        <family val="2"/>
      </rPr>
      <t>refrigerant charge</t>
    </r>
    <r>
      <rPr>
        <sz val="10"/>
        <color rgb="FF000000"/>
        <rFont val="Arial"/>
        <family val="2"/>
      </rPr>
      <t xml:space="preserve"> in appliance in kg;</t>
    </r>
  </si>
  <si>
    <r>
      <t>TA</t>
    </r>
    <r>
      <rPr>
        <i/>
        <vertAlign val="subscript"/>
        <sz val="11"/>
        <color theme="1"/>
        <rFont val="Calibri"/>
        <family val="2"/>
        <scheme val="minor"/>
      </rPr>
      <t>min</t>
    </r>
  </si>
  <si>
    <r>
      <t>is the required minimum area of the total conditioned space in m</t>
    </r>
    <r>
      <rPr>
        <vertAlign val="superscript"/>
        <sz val="8"/>
        <color theme="1"/>
        <rFont val="Arial"/>
        <family val="2"/>
      </rPr>
      <t>2</t>
    </r>
    <r>
      <rPr>
        <sz val="10"/>
        <color rgb="FF000000"/>
        <rFont val="Arial"/>
        <family val="2"/>
      </rPr>
      <t>;</t>
    </r>
  </si>
  <si>
    <r>
      <t>H</t>
    </r>
    <r>
      <rPr>
        <sz val="10"/>
        <color rgb="FF000000"/>
        <rFont val="Arial"/>
        <family val="2"/>
      </rPr>
      <t xml:space="preserve"> </t>
    </r>
  </si>
  <si>
    <r>
      <t>is the height of the room = 2,2</t>
    </r>
    <r>
      <rPr>
        <sz val="10"/>
        <color theme="1"/>
        <rFont val="Arial"/>
        <family val="2"/>
      </rPr>
      <t> </t>
    </r>
    <r>
      <rPr>
        <sz val="10"/>
        <color rgb="FF000000"/>
        <rFont val="Arial"/>
        <family val="2"/>
      </rPr>
      <t>m;</t>
    </r>
  </si>
  <si>
    <r>
      <t>TA</t>
    </r>
    <r>
      <rPr>
        <i/>
        <sz val="10"/>
        <color rgb="FF000000"/>
        <rFont val="Arial"/>
        <family val="2"/>
      </rPr>
      <t xml:space="preserve"> </t>
    </r>
  </si>
  <si>
    <r>
      <t>is the area of the total conditioned space in m</t>
    </r>
    <r>
      <rPr>
        <vertAlign val="superscript"/>
        <sz val="8"/>
        <color theme="1"/>
        <rFont val="Arial"/>
        <family val="2"/>
      </rPr>
      <t>2</t>
    </r>
    <r>
      <rPr>
        <sz val="10"/>
        <color rgb="FF000000"/>
        <rFont val="Arial"/>
        <family val="2"/>
      </rPr>
      <t>;</t>
    </r>
  </si>
  <si>
    <r>
      <t>LFL</t>
    </r>
    <r>
      <rPr>
        <i/>
        <sz val="10"/>
        <color rgb="FF000000"/>
        <rFont val="Arial"/>
        <family val="2"/>
      </rPr>
      <t xml:space="preserve"> </t>
    </r>
  </si>
  <si>
    <r>
      <t xml:space="preserve">is the </t>
    </r>
    <r>
      <rPr>
        <b/>
        <sz val="10"/>
        <color rgb="FF000000"/>
        <rFont val="Arial"/>
        <family val="2"/>
      </rPr>
      <t>lower flammability limit</t>
    </r>
    <r>
      <rPr>
        <sz val="10"/>
        <color rgb="FF000000"/>
        <rFont val="Arial"/>
        <family val="2"/>
      </rPr>
      <t xml:space="preserve"> in kg/m</t>
    </r>
    <r>
      <rPr>
        <vertAlign val="superscript"/>
        <sz val="8"/>
        <color theme="1"/>
        <rFont val="Arial"/>
        <family val="2"/>
      </rPr>
      <t>3</t>
    </r>
    <r>
      <rPr>
        <sz val="10"/>
        <color rgb="FF000000"/>
        <rFont val="Arial"/>
        <family val="2"/>
      </rPr>
      <t>.</t>
    </r>
  </si>
  <si>
    <r>
      <t xml:space="preserve">If </t>
    </r>
    <r>
      <rPr>
        <i/>
        <sz val="10"/>
        <color theme="1"/>
        <rFont val="Times New Roman"/>
        <family val="1"/>
      </rPr>
      <t>TA</t>
    </r>
    <r>
      <rPr>
        <sz val="10"/>
        <color theme="1"/>
        <rFont val="Arial"/>
        <family val="2"/>
      </rPr>
      <t xml:space="preserve"> is smaller than </t>
    </r>
    <r>
      <rPr>
        <i/>
        <sz val="10"/>
        <color theme="1"/>
        <rFont val="Times New Roman"/>
        <family val="1"/>
      </rPr>
      <t>TA</t>
    </r>
    <r>
      <rPr>
        <vertAlign val="subscript"/>
        <sz val="8"/>
        <color theme="1"/>
        <rFont val="Arial"/>
        <family val="2"/>
      </rPr>
      <t>min</t>
    </r>
    <r>
      <rPr>
        <sz val="10"/>
        <color theme="1"/>
        <rFont val="Arial"/>
        <family val="2"/>
      </rPr>
      <t>, additional ventilation according to GG.8.3 shall be employed.</t>
    </r>
  </si>
  <si>
    <t>GG.10</t>
  </si>
  <si>
    <t>Allowable charge for enhanced tightness refrigerating systems using A2L refrigerant</t>
  </si>
  <si>
    <t>GG.10.3.1</t>
  </si>
  <si>
    <t>Maximum refrigerant charge limit A</t>
  </si>
  <si>
    <r>
      <t xml:space="preserve">The </t>
    </r>
    <r>
      <rPr>
        <b/>
        <sz val="10"/>
        <color theme="1"/>
        <rFont val="Arial"/>
        <family val="2"/>
      </rPr>
      <t>maximum refrigerant charge</t>
    </r>
    <r>
      <rPr>
        <sz val="10"/>
        <color theme="1"/>
        <rFont val="Arial"/>
        <family val="2"/>
      </rPr>
      <t xml:space="preserve"> </t>
    </r>
    <r>
      <rPr>
        <i/>
        <sz val="10"/>
        <color theme="1"/>
        <rFont val="Times New Roman"/>
        <family val="1"/>
      </rPr>
      <t>m</t>
    </r>
    <r>
      <rPr>
        <vertAlign val="subscript"/>
        <sz val="8"/>
        <color theme="1"/>
        <rFont val="Arial"/>
        <family val="2"/>
      </rPr>
      <t>max</t>
    </r>
    <r>
      <rPr>
        <sz val="10"/>
        <color theme="1"/>
        <rFont val="Arial"/>
        <family val="2"/>
      </rPr>
      <t xml:space="preserve"> in a room and the minimum room area </t>
    </r>
    <r>
      <rPr>
        <i/>
        <sz val="10"/>
        <color theme="1"/>
        <rFont val="Times New Roman"/>
        <family val="1"/>
      </rPr>
      <t>A</t>
    </r>
    <r>
      <rPr>
        <vertAlign val="subscript"/>
        <sz val="8"/>
        <color theme="1"/>
        <rFont val="Arial"/>
        <family val="2"/>
      </rPr>
      <t>min</t>
    </r>
    <r>
      <rPr>
        <sz val="10"/>
        <color theme="1"/>
        <rFont val="Arial"/>
        <family val="2"/>
      </rPr>
      <t xml:space="preserve"> of the installed appliance with </t>
    </r>
    <r>
      <rPr>
        <b/>
        <sz val="10"/>
        <color theme="1"/>
        <rFont val="Arial"/>
        <family val="2"/>
      </rPr>
      <t>refrigerant charge</t>
    </r>
    <r>
      <rPr>
        <sz val="10"/>
        <color theme="1"/>
        <rFont val="Arial"/>
        <family val="2"/>
      </rPr>
      <t xml:space="preserve"> </t>
    </r>
    <r>
      <rPr>
        <i/>
        <sz val="10"/>
        <color theme="1"/>
        <rFont val="Times New Roman"/>
        <family val="1"/>
      </rPr>
      <t>m</t>
    </r>
    <r>
      <rPr>
        <vertAlign val="subscript"/>
        <sz val="8"/>
        <color theme="1"/>
        <rFont val="Arial"/>
        <family val="2"/>
      </rPr>
      <t>c</t>
    </r>
    <r>
      <rPr>
        <sz val="10"/>
        <color theme="1"/>
        <rFont val="Arial"/>
        <family val="2"/>
      </rPr>
      <t xml:space="preserve"> shall be in accordance with the following:</t>
    </r>
  </si>
  <si>
    <r>
      <t>m</t>
    </r>
    <r>
      <rPr>
        <vertAlign val="subscript"/>
        <sz val="11"/>
        <color theme="1"/>
        <rFont val="Calibri"/>
        <family val="2"/>
        <scheme val="minor"/>
      </rPr>
      <t>max</t>
    </r>
    <r>
      <rPr>
        <sz val="11"/>
        <color theme="1"/>
        <rFont val="Calibri"/>
        <family val="2"/>
        <scheme val="minor"/>
      </rPr>
      <t xml:space="preserve"> = </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r</t>
    </r>
    <r>
      <rPr>
        <sz val="11"/>
        <color theme="1"/>
        <rFont val="Calibri"/>
        <family val="2"/>
        <scheme val="minor"/>
      </rPr>
      <t xml:space="preserve"> × </t>
    </r>
    <r>
      <rPr>
        <i/>
        <sz val="11"/>
        <color theme="1"/>
        <rFont val="Calibri"/>
        <family val="2"/>
        <scheme val="minor"/>
      </rPr>
      <t>A</t>
    </r>
  </si>
  <si>
    <t>(GG.27)</t>
  </si>
  <si>
    <r>
      <t>A</t>
    </r>
    <r>
      <rPr>
        <vertAlign val="subscript"/>
        <sz val="11"/>
        <color theme="1"/>
        <rFont val="Calibri"/>
        <family val="2"/>
        <scheme val="minor"/>
      </rPr>
      <t>min</t>
    </r>
    <r>
      <rPr>
        <i/>
        <sz val="11"/>
        <color theme="1"/>
        <rFont val="Calibri"/>
        <family val="2"/>
        <scheme val="minor"/>
      </rPr>
      <t xml:space="preserve"> = m</t>
    </r>
    <r>
      <rPr>
        <i/>
        <vertAlign val="subscript"/>
        <sz val="11"/>
        <color theme="1"/>
        <rFont val="Calibri"/>
        <family val="2"/>
        <scheme val="minor"/>
      </rPr>
      <t>c</t>
    </r>
    <r>
      <rPr>
        <i/>
        <sz val="11"/>
        <color theme="1"/>
        <rFont val="Calibri"/>
        <family val="2"/>
        <scheme val="minor"/>
      </rPr>
      <t>/(CF × LFL × H</t>
    </r>
    <r>
      <rPr>
        <vertAlign val="subscript"/>
        <sz val="11"/>
        <color theme="1"/>
        <rFont val="Calibri"/>
        <family val="2"/>
        <scheme val="minor"/>
      </rPr>
      <t>r</t>
    </r>
    <r>
      <rPr>
        <i/>
        <sz val="11"/>
        <color theme="1"/>
        <rFont val="Calibri"/>
        <family val="2"/>
        <scheme val="minor"/>
      </rPr>
      <t>)</t>
    </r>
  </si>
  <si>
    <t>(GG.28)</t>
  </si>
  <si>
    <r>
      <t xml:space="preserve">is the </t>
    </r>
    <r>
      <rPr>
        <b/>
        <sz val="10"/>
        <color theme="1"/>
        <rFont val="Arial"/>
        <family val="2"/>
      </rPr>
      <t>maximum refrigerant charge</t>
    </r>
    <r>
      <rPr>
        <sz val="10"/>
        <color theme="1"/>
        <rFont val="Arial"/>
        <family val="2"/>
      </rPr>
      <t xml:space="preserve"> in kg;</t>
    </r>
  </si>
  <si>
    <r>
      <t>m</t>
    </r>
    <r>
      <rPr>
        <i/>
        <vertAlign val="subscript"/>
        <sz val="11"/>
        <color theme="1"/>
        <rFont val="Calibri"/>
        <family val="2"/>
        <scheme val="minor"/>
      </rPr>
      <t>c</t>
    </r>
  </si>
  <si>
    <r>
      <t xml:space="preserve">is the total </t>
    </r>
    <r>
      <rPr>
        <b/>
        <sz val="10"/>
        <color theme="1"/>
        <rFont val="Arial"/>
        <family val="2"/>
      </rPr>
      <t>refrigerant charge</t>
    </r>
    <r>
      <rPr>
        <sz val="10"/>
        <color theme="1"/>
        <rFont val="Arial"/>
        <family val="2"/>
      </rPr>
      <t xml:space="preserve"> in the </t>
    </r>
    <r>
      <rPr>
        <b/>
        <sz val="10"/>
        <color theme="1"/>
        <rFont val="Arial"/>
        <family val="2"/>
      </rPr>
      <t>refrigerating system</t>
    </r>
    <r>
      <rPr>
        <sz val="10"/>
        <color theme="1"/>
        <rFont val="Arial"/>
        <family val="2"/>
      </rPr>
      <t xml:space="preserve"> in kg;</t>
    </r>
  </si>
  <si>
    <r>
      <t>H</t>
    </r>
    <r>
      <rPr>
        <vertAlign val="subscript"/>
        <sz val="11"/>
        <color theme="1"/>
        <rFont val="Calibri"/>
        <family val="2"/>
        <scheme val="minor"/>
      </rPr>
      <t>r</t>
    </r>
  </si>
  <si>
    <t>is the effective height of the indoor unit;</t>
  </si>
  <si>
    <r>
      <t>is the room floor area in m</t>
    </r>
    <r>
      <rPr>
        <vertAlign val="superscript"/>
        <sz val="8"/>
        <color theme="1"/>
        <rFont val="Arial"/>
        <family val="2"/>
      </rPr>
      <t>2</t>
    </r>
    <r>
      <rPr>
        <sz val="10"/>
        <color theme="1"/>
        <rFont val="Arial"/>
        <family val="2"/>
      </rPr>
      <t>;</t>
    </r>
  </si>
  <si>
    <r>
      <t>A</t>
    </r>
    <r>
      <rPr>
        <vertAlign val="subscript"/>
        <sz val="11"/>
        <color theme="1"/>
        <rFont val="Calibri"/>
        <family val="2"/>
        <scheme val="minor"/>
      </rPr>
      <t>min</t>
    </r>
  </si>
  <si>
    <r>
      <t>is the required minimum room area in m</t>
    </r>
    <r>
      <rPr>
        <vertAlign val="superscript"/>
        <sz val="8"/>
        <color theme="1"/>
        <rFont val="Arial"/>
        <family val="2"/>
      </rPr>
      <t>2</t>
    </r>
    <r>
      <rPr>
        <sz val="10"/>
        <color theme="1"/>
        <rFont val="Arial"/>
        <family val="2"/>
      </rPr>
      <t>.</t>
    </r>
  </si>
  <si>
    <r>
      <t xml:space="preserve">The effective height, </t>
    </r>
    <r>
      <rPr>
        <i/>
        <sz val="10"/>
        <color theme="1"/>
        <rFont val="Times New Roman"/>
        <family val="1"/>
      </rPr>
      <t>H</t>
    </r>
    <r>
      <rPr>
        <sz val="6"/>
        <color theme="1"/>
        <rFont val="Arial"/>
        <family val="2"/>
      </rPr>
      <t>r</t>
    </r>
    <r>
      <rPr>
        <sz val="10"/>
        <color theme="1"/>
        <rFont val="Arial"/>
        <family val="2"/>
      </rPr>
      <t>, of the unit is determined as follows:</t>
    </r>
  </si>
  <si>
    <r>
      <t>·</t>
    </r>
    <r>
      <rPr>
        <sz val="7"/>
        <color theme="1"/>
        <rFont val="Times New Roman"/>
        <family val="1"/>
      </rPr>
      <t xml:space="preserve">      </t>
    </r>
    <r>
      <rPr>
        <sz val="10"/>
        <color theme="1"/>
        <rFont val="Arial"/>
        <family val="2"/>
      </rPr>
      <t xml:space="preserve">Where the release height, </t>
    </r>
    <r>
      <rPr>
        <i/>
        <sz val="10"/>
        <color theme="1"/>
        <rFont val="Times New Roman"/>
        <family val="1"/>
      </rPr>
      <t>h</t>
    </r>
    <r>
      <rPr>
        <sz val="6"/>
        <color theme="1"/>
        <rFont val="Arial"/>
        <family val="2"/>
      </rPr>
      <t>0</t>
    </r>
    <r>
      <rPr>
        <sz val="10"/>
        <color theme="1"/>
        <rFont val="Arial"/>
        <family val="2"/>
      </rPr>
      <t xml:space="preserve">, as determined in Clause GG.2 is equal to or greater than 1,8 m or the appliance is with incorporated </t>
    </r>
    <r>
      <rPr>
        <b/>
        <sz val="10"/>
        <color theme="1"/>
        <rFont val="Arial"/>
        <family val="2"/>
      </rPr>
      <t>circulation airflow</t>
    </r>
    <r>
      <rPr>
        <sz val="10"/>
        <color theme="1"/>
        <rFont val="Arial"/>
        <family val="2"/>
      </rPr>
      <t xml:space="preserve">, the effective height, </t>
    </r>
    <r>
      <rPr>
        <i/>
        <sz val="10"/>
        <color theme="1"/>
        <rFont val="Times New Roman"/>
        <family val="1"/>
      </rPr>
      <t>H</t>
    </r>
    <r>
      <rPr>
        <sz val="6"/>
        <color theme="1"/>
        <rFont val="Arial"/>
        <family val="2"/>
      </rPr>
      <t>r</t>
    </r>
    <r>
      <rPr>
        <sz val="10"/>
        <color theme="1"/>
        <rFont val="Arial"/>
        <family val="2"/>
      </rPr>
      <t xml:space="preserve">, is the room height in m but not more than 2,2 m unless </t>
    </r>
    <r>
      <rPr>
        <i/>
        <sz val="10"/>
        <color theme="1"/>
        <rFont val="Times New Roman"/>
        <family val="1"/>
      </rPr>
      <t>h</t>
    </r>
    <r>
      <rPr>
        <vertAlign val="subscript"/>
        <sz val="6"/>
        <color theme="1"/>
        <rFont val="Arial"/>
        <family val="2"/>
      </rPr>
      <t>0</t>
    </r>
    <r>
      <rPr>
        <sz val="10"/>
        <color theme="1"/>
        <rFont val="Arial"/>
        <family val="2"/>
      </rPr>
      <t xml:space="preserve"> is higher than 2,2 m;</t>
    </r>
  </si>
  <si>
    <r>
      <t>·</t>
    </r>
    <r>
      <rPr>
        <sz val="7"/>
        <color theme="1"/>
        <rFont val="Times New Roman"/>
        <family val="1"/>
      </rPr>
      <t xml:space="preserve">      </t>
    </r>
    <r>
      <rPr>
        <sz val="10"/>
        <color theme="1"/>
        <rFont val="Arial"/>
        <family val="2"/>
      </rPr>
      <t xml:space="preserve">In all other cases the effective height, </t>
    </r>
    <r>
      <rPr>
        <i/>
        <sz val="10"/>
        <color theme="1"/>
        <rFont val="Times New Roman"/>
        <family val="1"/>
      </rPr>
      <t>H</t>
    </r>
    <r>
      <rPr>
        <sz val="6"/>
        <color theme="1"/>
        <rFont val="Arial"/>
        <family val="2"/>
      </rPr>
      <t>r</t>
    </r>
    <r>
      <rPr>
        <sz val="10"/>
        <color theme="1"/>
        <rFont val="Arial"/>
        <family val="2"/>
      </rPr>
      <t xml:space="preserve">, is the release height, </t>
    </r>
    <r>
      <rPr>
        <i/>
        <sz val="10"/>
        <color theme="1"/>
        <rFont val="Times New Roman"/>
        <family val="1"/>
      </rPr>
      <t>h</t>
    </r>
    <r>
      <rPr>
        <vertAlign val="subscript"/>
        <sz val="6"/>
        <color theme="1"/>
        <rFont val="Arial"/>
        <family val="2"/>
      </rPr>
      <t>0</t>
    </r>
    <r>
      <rPr>
        <sz val="10"/>
        <color theme="1"/>
        <rFont val="Arial"/>
        <family val="2"/>
      </rPr>
      <t>, as determined in Clause GG.2.</t>
    </r>
  </si>
  <si>
    <r>
      <t>For room areas exceeding 250 m</t>
    </r>
    <r>
      <rPr>
        <vertAlign val="superscript"/>
        <sz val="8"/>
        <color theme="1"/>
        <rFont val="Arial"/>
        <family val="2"/>
      </rPr>
      <t>2</t>
    </r>
    <r>
      <rPr>
        <sz val="10"/>
        <color theme="1"/>
        <rFont val="Arial"/>
        <family val="2"/>
      </rPr>
      <t xml:space="preserve">, </t>
    </r>
    <r>
      <rPr>
        <i/>
        <sz val="10"/>
        <color theme="1"/>
        <rFont val="Arial"/>
        <family val="2"/>
      </rPr>
      <t>m</t>
    </r>
    <r>
      <rPr>
        <vertAlign val="subscript"/>
        <sz val="8"/>
        <color theme="1"/>
        <rFont val="Arial"/>
        <family val="2"/>
      </rPr>
      <t>max</t>
    </r>
    <r>
      <rPr>
        <sz val="10"/>
        <color theme="1"/>
        <rFont val="Arial"/>
        <family val="2"/>
      </rPr>
      <t xml:space="preserve"> shall be calculated with a room area (A) of 250 m</t>
    </r>
    <r>
      <rPr>
        <vertAlign val="superscript"/>
        <sz val="8"/>
        <color theme="1"/>
        <rFont val="Arial"/>
        <family val="2"/>
      </rPr>
      <t>2</t>
    </r>
    <r>
      <rPr>
        <sz val="10"/>
        <color theme="1"/>
        <rFont val="Arial"/>
        <family val="2"/>
      </rPr>
      <t>.</t>
    </r>
  </si>
  <si>
    <t>GG.10.3.2</t>
  </si>
  <si>
    <t>Maximum refrigerant charge limit B</t>
  </si>
  <si>
    <r>
      <t xml:space="preserve">The </t>
    </r>
    <r>
      <rPr>
        <b/>
        <sz val="10"/>
        <color theme="1"/>
        <rFont val="Arial"/>
        <family val="2"/>
      </rPr>
      <t>maximum refrigerant charge</t>
    </r>
    <r>
      <rPr>
        <sz val="10"/>
        <color theme="1"/>
        <rFont val="Arial"/>
        <family val="2"/>
      </rPr>
      <t xml:space="preserve"> </t>
    </r>
    <r>
      <rPr>
        <i/>
        <sz val="10"/>
        <color theme="1"/>
        <rFont val="Times New Roman"/>
        <family val="1"/>
      </rPr>
      <t>m</t>
    </r>
    <r>
      <rPr>
        <sz val="8"/>
        <color theme="1"/>
        <rFont val="Arial"/>
        <family val="2"/>
      </rPr>
      <t>max</t>
    </r>
    <r>
      <rPr>
        <sz val="10"/>
        <color theme="1"/>
        <rFont val="Arial"/>
        <family val="2"/>
      </rPr>
      <t xml:space="preserve"> in a room and the minimum room area </t>
    </r>
    <r>
      <rPr>
        <i/>
        <sz val="10"/>
        <color theme="1"/>
        <rFont val="Times New Roman"/>
        <family val="1"/>
      </rPr>
      <t>A</t>
    </r>
    <r>
      <rPr>
        <sz val="8"/>
        <color theme="1"/>
        <rFont val="Arial"/>
        <family val="2"/>
      </rPr>
      <t>min</t>
    </r>
    <r>
      <rPr>
        <sz val="10"/>
        <color theme="1"/>
        <rFont val="Arial"/>
        <family val="2"/>
      </rPr>
      <t xml:space="preserve"> of the installed appliance with </t>
    </r>
    <r>
      <rPr>
        <b/>
        <sz val="10"/>
        <color theme="1"/>
        <rFont val="Arial"/>
        <family val="2"/>
      </rPr>
      <t>refrigerant charge</t>
    </r>
    <r>
      <rPr>
        <sz val="10"/>
        <color theme="1"/>
        <rFont val="Arial"/>
        <family val="2"/>
      </rPr>
      <t xml:space="preserve"> </t>
    </r>
    <r>
      <rPr>
        <i/>
        <sz val="10"/>
        <color theme="1"/>
        <rFont val="Times New Roman"/>
        <family val="1"/>
      </rPr>
      <t>m</t>
    </r>
    <r>
      <rPr>
        <sz val="8"/>
        <color theme="1"/>
        <rFont val="Arial"/>
        <family val="2"/>
      </rPr>
      <t>c</t>
    </r>
    <r>
      <rPr>
        <sz val="10"/>
        <color theme="1"/>
        <rFont val="Arial"/>
        <family val="2"/>
      </rPr>
      <t xml:space="preserve"> shall be in accordance with the following:</t>
    </r>
  </si>
  <si>
    <t>(GG.29)</t>
  </si>
  <si>
    <t>(GG.30)</t>
  </si>
  <si>
    <r>
      <t xml:space="preserve">is the concentration factor </t>
    </r>
    <r>
      <rPr>
        <sz val="10"/>
        <color theme="1"/>
        <rFont val="Arial"/>
        <family val="2"/>
      </rPr>
      <t>with a value</t>
    </r>
    <r>
      <rPr>
        <sz val="10"/>
        <color rgb="FF000000"/>
        <rFont val="Arial"/>
        <family val="2"/>
      </rPr>
      <t xml:space="preserve"> of 0,75;</t>
    </r>
  </si>
  <si>
    <t>GG.10.4</t>
  </si>
  <si>
    <t>Requirement for units with incorporated circulation airflow to prevent stagnation</t>
  </si>
  <si>
    <t>GG.10.4.1</t>
  </si>
  <si>
    <r>
      <t xml:space="preserve">The circulation shall operate continuously or be turned on by </t>
    </r>
    <r>
      <rPr>
        <b/>
        <sz val="10"/>
        <color theme="1"/>
        <rFont val="Arial"/>
        <family val="2"/>
      </rPr>
      <t>leak detection systems</t>
    </r>
    <r>
      <rPr>
        <sz val="10"/>
        <color theme="1"/>
        <rFont val="Arial"/>
        <family val="2"/>
      </rPr>
      <t>. The minimum air velocity and minimum airflow shall be as follows:</t>
    </r>
  </si>
  <si>
    <r>
      <t>·</t>
    </r>
    <r>
      <rPr>
        <sz val="7"/>
        <color theme="1"/>
        <rFont val="Times New Roman"/>
        <family val="1"/>
      </rPr>
      <t xml:space="preserve">      </t>
    </r>
    <r>
      <rPr>
        <sz val="10"/>
        <color theme="1"/>
        <rFont val="Arial"/>
        <family val="2"/>
      </rPr>
      <t>Minimum airflow = 240 m</t>
    </r>
    <r>
      <rPr>
        <sz val="8"/>
        <color theme="1"/>
        <rFont val="Arial"/>
        <family val="2"/>
      </rPr>
      <t>3</t>
    </r>
    <r>
      <rPr>
        <sz val="10"/>
        <color theme="1"/>
        <rFont val="Arial"/>
        <family val="2"/>
      </rPr>
      <t>/h;</t>
    </r>
  </si>
  <si>
    <r>
      <t>·</t>
    </r>
    <r>
      <rPr>
        <sz val="7"/>
        <color theme="1"/>
        <rFont val="Times New Roman"/>
        <family val="1"/>
      </rPr>
      <t xml:space="preserve">      </t>
    </r>
    <r>
      <rPr>
        <sz val="10"/>
        <color theme="1"/>
        <rFont val="Arial"/>
        <family val="2"/>
      </rPr>
      <t xml:space="preserve">There is no minimum </t>
    </r>
    <r>
      <rPr>
        <b/>
        <sz val="10"/>
        <color theme="1"/>
        <rFont val="Arial"/>
        <family val="2"/>
      </rPr>
      <t>circulation airflow</t>
    </r>
    <r>
      <rPr>
        <sz val="10"/>
        <color theme="1"/>
        <rFont val="Arial"/>
        <family val="2"/>
      </rPr>
      <t xml:space="preserve"> velocity requirement for downwards airflow;</t>
    </r>
  </si>
  <si>
    <r>
      <t>·</t>
    </r>
    <r>
      <rPr>
        <sz val="7"/>
        <color theme="1"/>
        <rFont val="Times New Roman"/>
        <family val="1"/>
      </rPr>
      <t xml:space="preserve">      </t>
    </r>
    <r>
      <rPr>
        <sz val="10"/>
        <color theme="1"/>
        <rFont val="Arial"/>
        <family val="2"/>
      </rPr>
      <t>Minimum air velocity for upwards airflow:</t>
    </r>
  </si>
  <si>
    <r>
      <t>v</t>
    </r>
    <r>
      <rPr>
        <vertAlign val="subscript"/>
        <sz val="11"/>
        <color theme="1"/>
        <rFont val="Calibri"/>
        <family val="2"/>
        <scheme val="minor"/>
      </rPr>
      <t>min</t>
    </r>
    <r>
      <rPr>
        <sz val="11"/>
        <color theme="1"/>
        <rFont val="Calibri"/>
        <family val="2"/>
        <scheme val="minor"/>
      </rPr>
      <t xml:space="preserve"> = (– 4,0 × 10</t>
    </r>
    <r>
      <rPr>
        <vertAlign val="superscript"/>
        <sz val="11"/>
        <color theme="1"/>
        <rFont val="Calibri"/>
        <family val="2"/>
        <scheme val="minor"/>
      </rPr>
      <t>-5</t>
    </r>
    <r>
      <rPr>
        <sz val="11"/>
        <color theme="1"/>
        <rFont val="Calibri"/>
        <family val="2"/>
        <scheme val="minor"/>
      </rPr>
      <t xml:space="preserve"> × </t>
    </r>
    <r>
      <rPr>
        <i/>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+ 0,010 8 × </t>
    </r>
    <r>
      <rPr>
        <i/>
        <sz val="11"/>
        <color theme="1"/>
        <rFont val="Calibri"/>
        <family val="2"/>
        <scheme val="minor"/>
      </rPr>
      <t>M</t>
    </r>
    <r>
      <rPr>
        <sz val="11"/>
        <color theme="1"/>
        <rFont val="Calibri"/>
        <family val="2"/>
        <scheme val="minor"/>
      </rPr>
      <t xml:space="preserve"> + 1,42) / sin </t>
    </r>
    <r>
      <rPr>
        <i/>
        <sz val="11"/>
        <color theme="1"/>
        <rFont val="Calibri"/>
        <family val="2"/>
        <scheme val="minor"/>
      </rPr>
      <t>φ</t>
    </r>
  </si>
  <si>
    <t>(GG.31)</t>
  </si>
  <si>
    <r>
      <t>v</t>
    </r>
    <r>
      <rPr>
        <vertAlign val="subscript"/>
        <sz val="11"/>
        <color theme="1"/>
        <rFont val="Calibri"/>
        <family val="2"/>
        <scheme val="minor"/>
      </rPr>
      <t>min</t>
    </r>
  </si>
  <si>
    <t>is the minimum air velocity in m/s;</t>
  </si>
  <si>
    <t>is the molar mass in kg/kmol;</t>
  </si>
  <si>
    <t>φ</t>
  </si>
  <si>
    <t>is the airflow angle above horizontal in degrees, an angle below 15 degrees is considered to be 15 degrees.</t>
  </si>
  <si>
    <t>General requirements for number of measures</t>
  </si>
  <si>
    <t>GG.11</t>
  </si>
  <si>
    <t>Ventilation for enhanced tightness refrigerating systems using A2L refrigerants</t>
  </si>
  <si>
    <t>GG.11.1</t>
  </si>
  <si>
    <r>
      <t xml:space="preserve">Where ventilation is to an indoor space, the total area of that space and the space in which the appliance is installed, shall have a total room area not less than </t>
    </r>
    <r>
      <rPr>
        <i/>
        <sz val="10"/>
        <color theme="1"/>
        <rFont val="Arial"/>
        <family val="2"/>
      </rPr>
      <t>A</t>
    </r>
    <r>
      <rPr>
        <sz val="6"/>
        <color theme="1"/>
        <rFont val="Arial"/>
        <family val="2"/>
      </rPr>
      <t>min</t>
    </r>
    <r>
      <rPr>
        <sz val="10"/>
        <color theme="1"/>
        <rFont val="Arial"/>
        <family val="2"/>
      </rPr>
      <t xml:space="preserve"> according to:</t>
    </r>
  </si>
  <si>
    <r>
      <t>A</t>
    </r>
    <r>
      <rPr>
        <vertAlign val="subscript"/>
        <sz val="11"/>
        <color theme="1"/>
        <rFont val="Calibri"/>
        <family val="2"/>
        <scheme val="minor"/>
      </rPr>
      <t>min</t>
    </r>
    <r>
      <rPr>
        <i/>
        <sz val="11"/>
        <color theme="1"/>
        <rFont val="Calibri"/>
        <family val="2"/>
        <scheme val="minor"/>
      </rPr>
      <t xml:space="preserve"> = m</t>
    </r>
    <r>
      <rPr>
        <vertAlign val="subscript"/>
        <sz val="11"/>
        <color theme="1"/>
        <rFont val="Calibri"/>
        <family val="2"/>
        <scheme val="minor"/>
      </rPr>
      <t xml:space="preserve">c </t>
    </r>
    <r>
      <rPr>
        <i/>
        <sz val="11"/>
        <color theme="1"/>
        <rFont val="Calibri"/>
        <family val="2"/>
        <scheme val="minor"/>
      </rPr>
      <t>/(CF × LFL × H</t>
    </r>
    <r>
      <rPr>
        <vertAlign val="subscript"/>
        <sz val="11"/>
        <color theme="1"/>
        <rFont val="Calibri"/>
        <family val="2"/>
        <scheme val="minor"/>
      </rPr>
      <t>r</t>
    </r>
    <r>
      <rPr>
        <i/>
        <sz val="11"/>
        <color theme="1"/>
        <rFont val="Calibri"/>
        <family val="2"/>
        <scheme val="minor"/>
      </rPr>
      <t>)</t>
    </r>
  </si>
  <si>
    <t>(GG.32)</t>
  </si>
  <si>
    <t>is the effective height of the indoor unit in m;</t>
  </si>
  <si>
    <t>GG.11.2</t>
  </si>
  <si>
    <t>Natural ventilation</t>
  </si>
  <si>
    <r>
      <t>The minimum opening area for natural ventilation (</t>
    </r>
    <r>
      <rPr>
        <i/>
        <sz val="11"/>
        <color theme="1"/>
        <rFont val="Calibri"/>
        <family val="2"/>
        <scheme val="minor"/>
      </rPr>
      <t>A</t>
    </r>
    <r>
      <rPr>
        <vertAlign val="subscript"/>
        <sz val="11"/>
        <color theme="1"/>
        <rFont val="Calibri"/>
        <family val="2"/>
        <scheme val="minor"/>
      </rPr>
      <t>nv,min</t>
    </r>
    <r>
      <rPr>
        <sz val="11"/>
        <color theme="1"/>
        <rFont val="Calibri"/>
        <family val="2"/>
        <scheme val="minor"/>
      </rPr>
      <t>) to an indoor space shall be:</t>
    </r>
  </si>
  <si>
    <t>(GG.33)</t>
  </si>
  <si>
    <t>this is</t>
  </si>
  <si>
    <r>
      <t>cm</t>
    </r>
    <r>
      <rPr>
        <vertAlign val="superscript"/>
        <sz val="11"/>
        <color theme="1"/>
        <rFont val="Calibri"/>
        <family val="2"/>
        <scheme val="minor"/>
      </rPr>
      <t>2</t>
    </r>
  </si>
  <si>
    <r>
      <t>is the minimum required natural ventilation opening area in m</t>
    </r>
    <r>
      <rPr>
        <vertAlign val="superscript"/>
        <sz val="8"/>
        <color theme="1"/>
        <rFont val="Arial"/>
        <family val="2"/>
      </rPr>
      <t>2</t>
    </r>
    <r>
      <rPr>
        <sz val="10"/>
        <color theme="1"/>
        <rFont val="Arial"/>
        <family val="2"/>
      </rPr>
      <t>;</t>
    </r>
  </si>
  <si>
    <t>molar mass in kg/kmol;</t>
  </si>
  <si>
    <t>is the coefficient resulting from calculating all the constants used to establish the formula;</t>
  </si>
  <si>
    <t>is the average molar mass of air in kg/kmol.</t>
  </si>
  <si>
    <r>
      <t>The minimum opening area for natural ventilation (</t>
    </r>
    <r>
      <rPr>
        <i/>
        <sz val="11"/>
        <color theme="1"/>
        <rFont val="Calibri"/>
        <family val="2"/>
        <scheme val="minor"/>
      </rPr>
      <t>A</t>
    </r>
    <r>
      <rPr>
        <vertAlign val="subscript"/>
        <sz val="11"/>
        <color theme="1"/>
        <rFont val="Calibri"/>
        <family val="2"/>
        <scheme val="minor"/>
      </rPr>
      <t>nv,min</t>
    </r>
    <r>
      <rPr>
        <sz val="11"/>
        <color theme="1"/>
        <rFont val="Calibri"/>
        <family val="2"/>
        <scheme val="minor"/>
      </rPr>
      <t>) to an outdoor space shall be:</t>
    </r>
  </si>
  <si>
    <t>(GG.34)</t>
  </si>
  <si>
    <r>
      <t xml:space="preserve">is the conversion constant from hydrocarbon to other </t>
    </r>
    <r>
      <rPr>
        <i/>
        <sz val="10"/>
        <color theme="1"/>
        <rFont val="Arial"/>
        <family val="2"/>
      </rPr>
      <t>LFL</t>
    </r>
    <r>
      <rPr>
        <sz val="10"/>
        <color theme="1"/>
        <rFont val="Arial"/>
        <family val="2"/>
      </rPr>
      <t>.</t>
    </r>
  </si>
  <si>
    <t>GG.11.3</t>
  </si>
  <si>
    <t>Mechanical ventilation</t>
  </si>
  <si>
    <t>GG.11.3.2</t>
  </si>
  <si>
    <t>Required airflow</t>
  </si>
  <si>
    <r>
      <t>For (</t>
    </r>
    <r>
      <rPr>
        <i/>
        <sz val="10"/>
        <color theme="1"/>
        <rFont val="Times New Roman"/>
        <family val="1"/>
      </rPr>
      <t>Q</t>
    </r>
    <r>
      <rPr>
        <sz val="6"/>
        <color theme="1"/>
        <rFont val="Arial"/>
        <family val="2"/>
      </rPr>
      <t>min</t>
    </r>
    <r>
      <rPr>
        <sz val="10"/>
        <color theme="1"/>
        <rFont val="Arial"/>
        <family val="2"/>
      </rPr>
      <t> × 0,25 × </t>
    </r>
    <r>
      <rPr>
        <i/>
        <sz val="10"/>
        <color theme="1"/>
        <rFont val="Times New Roman"/>
        <family val="1"/>
      </rPr>
      <t>LFL</t>
    </r>
    <r>
      <rPr>
        <sz val="10"/>
        <color theme="1"/>
        <rFont val="Arial"/>
        <family val="2"/>
      </rPr>
      <t>)/10 &lt; 1, the airflow of the mechanical ventilation shall be at least the quantity that satisfies the following formula:</t>
    </r>
  </si>
  <si>
    <t>(GG.35)</t>
  </si>
  <si>
    <r>
      <rPr>
        <i/>
        <sz val="11"/>
        <color theme="1"/>
        <rFont val="Calibri"/>
        <family val="2"/>
        <scheme val="minor"/>
      </rPr>
      <t>m</t>
    </r>
    <r>
      <rPr>
        <vertAlign val="subscript"/>
        <sz val="11"/>
        <color theme="1"/>
        <rFont val="Calibri"/>
        <family val="2"/>
        <scheme val="minor"/>
      </rPr>
      <t>c</t>
    </r>
    <r>
      <rPr>
        <sz val="11"/>
        <color theme="1"/>
        <rFont val="Calibri"/>
        <family val="2"/>
        <scheme val="minor"/>
      </rPr>
      <t xml:space="preserve"> allowed is </t>
    </r>
  </si>
  <si>
    <r>
      <rPr>
        <i/>
        <sz val="11"/>
        <color theme="1"/>
        <rFont val="Calibri"/>
        <family val="2"/>
        <scheme val="minor"/>
      </rPr>
      <t>Q</t>
    </r>
    <r>
      <rPr>
        <vertAlign val="subscript"/>
        <sz val="11"/>
        <color theme="1"/>
        <rFont val="Calibri"/>
        <family val="2"/>
        <scheme val="minor"/>
      </rPr>
      <t>min</t>
    </r>
    <r>
      <rPr>
        <sz val="11"/>
        <color theme="1"/>
        <rFont val="Calibri"/>
        <family val="2"/>
        <scheme val="minor"/>
      </rPr>
      <t xml:space="preserve"> allowed is approx.</t>
    </r>
  </si>
  <si>
    <r>
      <t>For (</t>
    </r>
    <r>
      <rPr>
        <i/>
        <sz val="10"/>
        <color theme="1"/>
        <rFont val="Times New Roman"/>
        <family val="1"/>
      </rPr>
      <t>Q</t>
    </r>
    <r>
      <rPr>
        <sz val="6"/>
        <color theme="1"/>
        <rFont val="Arial"/>
        <family val="2"/>
      </rPr>
      <t>min</t>
    </r>
    <r>
      <rPr>
        <i/>
        <sz val="10"/>
        <color theme="1"/>
        <rFont val="Times New Roman"/>
        <family val="1"/>
      </rPr>
      <t> </t>
    </r>
    <r>
      <rPr>
        <sz val="10"/>
        <color theme="1"/>
        <rFont val="Arial"/>
        <family val="2"/>
      </rPr>
      <t>× 0,25 × </t>
    </r>
    <r>
      <rPr>
        <i/>
        <sz val="10"/>
        <color theme="1"/>
        <rFont val="Times New Roman"/>
        <family val="1"/>
      </rPr>
      <t>LFL</t>
    </r>
    <r>
      <rPr>
        <sz val="10"/>
        <color theme="1"/>
        <rFont val="Arial"/>
        <family val="2"/>
      </rPr>
      <t>)/10 ≥ 1, the airflow shall be determined according the following formula:</t>
    </r>
  </si>
  <si>
    <t>(GG.36)</t>
  </si>
  <si>
    <r>
      <t>m</t>
    </r>
    <r>
      <rPr>
        <sz val="8"/>
        <color theme="1"/>
        <rFont val="Arial"/>
        <family val="2"/>
      </rPr>
      <t>c</t>
    </r>
    <r>
      <rPr>
        <sz val="10"/>
        <color theme="1"/>
        <rFont val="Arial"/>
        <family val="2"/>
      </rPr>
      <t xml:space="preserve"> </t>
    </r>
  </si>
  <si>
    <r>
      <t xml:space="preserve">is the </t>
    </r>
    <r>
      <rPr>
        <b/>
        <sz val="10"/>
        <color theme="1"/>
        <rFont val="Arial"/>
        <family val="2"/>
      </rPr>
      <t>refrigerant charge</t>
    </r>
    <r>
      <rPr>
        <sz val="10"/>
        <color theme="1"/>
        <rFont val="Arial"/>
        <family val="2"/>
      </rPr>
      <t>, expressed in kg;</t>
    </r>
  </si>
  <si>
    <r>
      <t>V</t>
    </r>
    <r>
      <rPr>
        <sz val="10"/>
        <color theme="1"/>
        <rFont val="Arial"/>
        <family val="2"/>
      </rPr>
      <t xml:space="preserve"> </t>
    </r>
  </si>
  <si>
    <r>
      <t>is the room volume in m</t>
    </r>
    <r>
      <rPr>
        <vertAlign val="superscript"/>
        <sz val="8"/>
        <color theme="1"/>
        <rFont val="Arial"/>
        <family val="2"/>
      </rPr>
      <t>3</t>
    </r>
    <r>
      <rPr>
        <sz val="10"/>
        <color theme="1"/>
        <rFont val="Arial"/>
        <family val="2"/>
      </rPr>
      <t>;</t>
    </r>
  </si>
  <si>
    <t>is the expected maximum leak rate in kg/h;</t>
  </si>
  <si>
    <r>
      <t>Q</t>
    </r>
    <r>
      <rPr>
        <sz val="6"/>
        <color theme="1"/>
        <rFont val="Arial"/>
        <family val="2"/>
      </rPr>
      <t>min</t>
    </r>
    <r>
      <rPr>
        <sz val="10"/>
        <color theme="1"/>
        <rFont val="Arial"/>
        <family val="2"/>
      </rPr>
      <t xml:space="preserve"> </t>
    </r>
  </si>
  <si>
    <r>
      <t>is the ventilation airflow in m</t>
    </r>
    <r>
      <rPr>
        <vertAlign val="superscript"/>
        <sz val="8"/>
        <color theme="1"/>
        <rFont val="Arial"/>
        <family val="2"/>
      </rPr>
      <t>3</t>
    </r>
    <r>
      <rPr>
        <sz val="10"/>
        <color theme="1"/>
        <rFont val="Arial"/>
        <family val="2"/>
      </rPr>
      <t>/h;</t>
    </r>
  </si>
  <si>
    <t>a</t>
  </si>
  <si>
    <t>z in W0(z)</t>
  </si>
  <si>
    <t>W0(z) approx.</t>
  </si>
  <si>
    <t>Q_min allowed approx:</t>
  </si>
  <si>
    <t>D m_c</t>
  </si>
  <si>
    <t>D m_c/D Q_min</t>
  </si>
  <si>
    <t>Q_min allowed 2nd approx:</t>
  </si>
  <si>
    <t>Q_min allowed 3rd approx:</t>
  </si>
  <si>
    <t>Q_min allowed 4th approx:</t>
  </si>
  <si>
    <t>D m_c (error)</t>
  </si>
  <si>
    <t>GG.12</t>
  </si>
  <si>
    <t>Safety shut-off valves for enhanced tightness refrigerating systems using A2L refrigerants</t>
  </si>
  <si>
    <r>
      <t xml:space="preserve">For appliances which are not on the lowest underground floor, where the release height, </t>
    </r>
    <r>
      <rPr>
        <i/>
        <sz val="10"/>
        <color theme="1"/>
        <rFont val="Times New Roman"/>
        <family val="1"/>
      </rPr>
      <t>h</t>
    </r>
    <r>
      <rPr>
        <vertAlign val="subscript"/>
        <sz val="8"/>
        <color theme="1"/>
        <rFont val="Arial"/>
        <family val="2"/>
      </rPr>
      <t>0</t>
    </r>
    <r>
      <rPr>
        <sz val="10"/>
        <color theme="1"/>
        <rFont val="Arial"/>
        <family val="2"/>
      </rPr>
      <t xml:space="preserve">, as determined in Clause GG.2 is equal to or greater than 1,8 m or the appliance is with integral </t>
    </r>
    <r>
      <rPr>
        <b/>
        <sz val="10"/>
        <color theme="1"/>
        <rFont val="Arial"/>
        <family val="2"/>
      </rPr>
      <t>circulation airflow</t>
    </r>
    <r>
      <rPr>
        <sz val="10"/>
        <color theme="1"/>
        <rFont val="Arial"/>
        <family val="2"/>
      </rPr>
      <t xml:space="preserve">, the </t>
    </r>
    <r>
      <rPr>
        <b/>
        <sz val="10"/>
        <color theme="1"/>
        <rFont val="Arial"/>
        <family val="2"/>
      </rPr>
      <t>releasable charge</t>
    </r>
    <r>
      <rPr>
        <sz val="10"/>
        <color theme="1"/>
        <rFont val="Arial"/>
        <family val="2"/>
      </rPr>
      <t xml:space="preserve"> as determined by Annex QQ shall be limited to:</t>
    </r>
  </si>
  <si>
    <r>
      <t>m</t>
    </r>
    <r>
      <rPr>
        <vertAlign val="subscript"/>
        <sz val="11"/>
        <color theme="1"/>
        <rFont val="Calibri"/>
        <family val="2"/>
        <scheme val="minor"/>
      </rPr>
      <t>rl</t>
    </r>
    <r>
      <rPr>
        <i/>
        <sz val="11"/>
        <color theme="1"/>
        <rFont val="Calibri"/>
        <family val="2"/>
        <scheme val="minor"/>
      </rPr>
      <t xml:space="preserve"> &lt; CF × LFL × H</t>
    </r>
    <r>
      <rPr>
        <i/>
        <vertAlign val="subscript"/>
        <sz val="11"/>
        <color theme="1"/>
        <rFont val="Calibri"/>
        <family val="2"/>
        <scheme val="minor"/>
      </rPr>
      <t>r</t>
    </r>
    <r>
      <rPr>
        <i/>
        <sz val="11"/>
        <color theme="1"/>
        <rFont val="Calibri"/>
        <family val="2"/>
        <scheme val="minor"/>
      </rPr>
      <t xml:space="preserve"> × A</t>
    </r>
  </si>
  <si>
    <t>(GG.37)</t>
  </si>
  <si>
    <t>is the concentration factor with a value of 0,75;</t>
  </si>
  <si>
    <r>
      <t>m</t>
    </r>
    <r>
      <rPr>
        <sz val="8"/>
        <color theme="1"/>
        <rFont val="Arial"/>
        <family val="2"/>
      </rPr>
      <t>rl</t>
    </r>
  </si>
  <si>
    <r>
      <t xml:space="preserve">is the </t>
    </r>
    <r>
      <rPr>
        <b/>
        <sz val="10"/>
        <color theme="1"/>
        <rFont val="Arial"/>
        <family val="2"/>
      </rPr>
      <t>releasable charge</t>
    </r>
    <r>
      <rPr>
        <sz val="10"/>
        <color theme="1"/>
        <rFont val="Arial"/>
        <family val="2"/>
      </rPr>
      <t xml:space="preserve"> in kg;</t>
    </r>
  </si>
  <si>
    <t>is the effective height of the indoor unit as determined in GG.10.3;</t>
  </si>
  <si>
    <r>
      <t>is the room floor area in m</t>
    </r>
    <r>
      <rPr>
        <vertAlign val="superscript"/>
        <sz val="8"/>
        <color theme="1"/>
        <rFont val="Arial"/>
        <family val="2"/>
      </rPr>
      <t>2</t>
    </r>
    <r>
      <rPr>
        <sz val="10"/>
        <color theme="1"/>
        <rFont val="Arial"/>
        <family val="2"/>
      </rPr>
      <t>.</t>
    </r>
  </si>
  <si>
    <r>
      <t>m</t>
    </r>
    <r>
      <rPr>
        <vertAlign val="superscript"/>
        <sz val="8"/>
        <color theme="1"/>
        <rFont val="Arial"/>
        <family val="2"/>
      </rPr>
      <t>2</t>
    </r>
  </si>
  <si>
    <r>
      <t xml:space="preserve">For all other appliances, the </t>
    </r>
    <r>
      <rPr>
        <b/>
        <sz val="10"/>
        <color theme="1"/>
        <rFont val="Arial"/>
        <family val="2"/>
      </rPr>
      <t>releasable charge</t>
    </r>
    <r>
      <rPr>
        <sz val="10"/>
        <color theme="1"/>
        <rFont val="Arial"/>
        <family val="2"/>
      </rPr>
      <t xml:space="preserve"> as determined by Annex QQ shall be limited to:</t>
    </r>
  </si>
  <si>
    <t>(GG.38)</t>
  </si>
  <si>
    <t>is the concentration factor with a value of 0,50;</t>
  </si>
  <si>
    <t>GG.14</t>
  </si>
  <si>
    <t xml:space="preserve">Allowable charge for enhanced tightness refrigerating systems using A2 or A3 refrigerant </t>
  </si>
  <si>
    <t>GG.14.2</t>
  </si>
  <si>
    <t>Requirement for enhanced tightness units without incorporated circulation airflow</t>
  </si>
  <si>
    <r>
      <t xml:space="preserve">For </t>
    </r>
    <r>
      <rPr>
        <b/>
        <sz val="10"/>
        <color theme="1"/>
        <rFont val="Arial"/>
        <family val="2"/>
      </rPr>
      <t>enhanced tightness refrigeration systems</t>
    </r>
    <r>
      <rPr>
        <sz val="10"/>
        <color theme="1"/>
        <rFont val="Arial"/>
        <family val="2"/>
      </rPr>
      <t xml:space="preserve"> the </t>
    </r>
    <r>
      <rPr>
        <b/>
        <sz val="10"/>
        <color theme="1"/>
        <rFont val="Arial"/>
        <family val="2"/>
      </rPr>
      <t>maximum refrigerant charge</t>
    </r>
    <r>
      <rPr>
        <sz val="10"/>
        <color theme="1"/>
        <rFont val="Arial"/>
        <family val="2"/>
      </rPr>
      <t xml:space="preserve"> in a room shall be in accordance with the following:</t>
    </r>
  </si>
  <si>
    <r>
      <t>m</t>
    </r>
    <r>
      <rPr>
        <vertAlign val="subscript"/>
        <sz val="11"/>
        <color theme="1"/>
        <rFont val="Calibri"/>
        <family val="2"/>
        <scheme val="minor"/>
      </rPr>
      <t>max</t>
    </r>
    <r>
      <rPr>
        <sz val="11"/>
        <color theme="1"/>
        <rFont val="Calibri"/>
        <family val="2"/>
        <scheme val="minor"/>
      </rPr>
      <t xml:space="preserve"> = </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A</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0</t>
    </r>
  </si>
  <si>
    <t>(GG.39)</t>
  </si>
  <si>
    <r>
      <t xml:space="preserve">or the required minimum room area </t>
    </r>
    <r>
      <rPr>
        <i/>
        <sz val="10"/>
        <color theme="1"/>
        <rFont val="Times New Roman"/>
        <family val="1"/>
      </rPr>
      <t>A</t>
    </r>
    <r>
      <rPr>
        <sz val="8"/>
        <color theme="1"/>
        <rFont val="Arial"/>
        <family val="2"/>
      </rPr>
      <t>min</t>
    </r>
    <r>
      <rPr>
        <sz val="10"/>
        <color theme="1"/>
        <rFont val="Arial"/>
        <family val="2"/>
      </rPr>
      <t xml:space="preserve"> of installed appliance with </t>
    </r>
    <r>
      <rPr>
        <b/>
        <sz val="10"/>
        <color theme="1"/>
        <rFont val="Arial"/>
        <family val="2"/>
      </rPr>
      <t xml:space="preserve">refrigerant charge </t>
    </r>
    <r>
      <rPr>
        <i/>
        <sz val="10"/>
        <color theme="1"/>
        <rFont val="Times New Roman"/>
        <family val="1"/>
      </rPr>
      <t>m</t>
    </r>
    <r>
      <rPr>
        <sz val="8"/>
        <color theme="1"/>
        <rFont val="Arial"/>
        <family val="2"/>
      </rPr>
      <t>c</t>
    </r>
    <r>
      <rPr>
        <sz val="10"/>
        <color theme="1"/>
        <rFont val="Arial"/>
        <family val="2"/>
      </rPr>
      <t xml:space="preserve"> shall be in accordance with following;</t>
    </r>
  </si>
  <si>
    <r>
      <t>A</t>
    </r>
    <r>
      <rPr>
        <vertAlign val="subscript"/>
        <sz val="11"/>
        <color theme="1"/>
        <rFont val="Calibri"/>
        <family val="2"/>
        <scheme val="minor"/>
      </rPr>
      <t>min</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c</t>
    </r>
    <r>
      <rPr>
        <sz val="11"/>
        <color theme="1"/>
        <rFont val="Calibri"/>
        <family val="2"/>
        <scheme val="minor"/>
      </rPr>
      <t>/(</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t>
    </r>
    <r>
      <rPr>
        <i/>
        <sz val="11"/>
        <color theme="1"/>
        <rFont val="Calibri"/>
        <family val="2"/>
        <scheme val="minor"/>
      </rPr>
      <t>h</t>
    </r>
    <r>
      <rPr>
        <vertAlign val="subscript"/>
        <sz val="11"/>
        <color theme="1"/>
        <rFont val="Calibri"/>
        <family val="2"/>
        <scheme val="minor"/>
      </rPr>
      <t>0</t>
    </r>
    <r>
      <rPr>
        <sz val="11"/>
        <color theme="1"/>
        <rFont val="Calibri"/>
        <family val="2"/>
        <scheme val="minor"/>
      </rPr>
      <t>)</t>
    </r>
  </si>
  <si>
    <t>(GG.40)</t>
  </si>
  <si>
    <t>is a concentration factor with a value of 0,35;</t>
  </si>
  <si>
    <t>is the release height, the vertical distance in metres from the floor to the point of release when the appliance is installed (see Figure GG.3) according to Clause GG.2.1 but not less than 0,6 m and not to exceed 2,2 m;</t>
  </si>
  <si>
    <t>GG.14.3</t>
  </si>
  <si>
    <t>Requirement for enhanced tightness units with incorporated circulation airflow</t>
  </si>
  <si>
    <r>
      <t xml:space="preserve">For </t>
    </r>
    <r>
      <rPr>
        <b/>
        <sz val="10"/>
        <color theme="1"/>
        <rFont val="Arial"/>
        <family val="2"/>
      </rPr>
      <t>enhanced tightness refrigeration systems</t>
    </r>
    <r>
      <rPr>
        <sz val="10"/>
        <color theme="1"/>
        <rFont val="Arial"/>
        <family val="2"/>
      </rPr>
      <t xml:space="preserve">, the </t>
    </r>
    <r>
      <rPr>
        <b/>
        <sz val="10"/>
        <color theme="1"/>
        <rFont val="Arial"/>
        <family val="2"/>
      </rPr>
      <t>maximum refrigerant charge</t>
    </r>
    <r>
      <rPr>
        <sz val="10"/>
        <color theme="1"/>
        <rFont val="Arial"/>
        <family val="2"/>
      </rPr>
      <t xml:space="preserve"> in a room shall be in accordance with the following:</t>
    </r>
  </si>
  <si>
    <t>(GG.41)</t>
  </si>
  <si>
    <r>
      <t xml:space="preserve">or the required minimum room area </t>
    </r>
    <r>
      <rPr>
        <i/>
        <sz val="10"/>
        <color theme="1"/>
        <rFont val="Times New Roman"/>
        <family val="1"/>
      </rPr>
      <t>A</t>
    </r>
    <r>
      <rPr>
        <vertAlign val="subscript"/>
        <sz val="8"/>
        <color theme="1"/>
        <rFont val="Arial"/>
        <family val="2"/>
      </rPr>
      <t>min</t>
    </r>
    <r>
      <rPr>
        <sz val="10"/>
        <color theme="1"/>
        <rFont val="Arial"/>
        <family val="2"/>
      </rPr>
      <t xml:space="preserve"> of installed appliance with </t>
    </r>
    <r>
      <rPr>
        <b/>
        <sz val="10"/>
        <color theme="1"/>
        <rFont val="Arial"/>
        <family val="2"/>
      </rPr>
      <t xml:space="preserve">refrigerant charge </t>
    </r>
    <r>
      <rPr>
        <i/>
        <sz val="10"/>
        <color theme="1"/>
        <rFont val="Times New Roman"/>
        <family val="1"/>
      </rPr>
      <t>m</t>
    </r>
    <r>
      <rPr>
        <vertAlign val="subscript"/>
        <sz val="8"/>
        <color theme="1"/>
        <rFont val="Arial"/>
        <family val="2"/>
      </rPr>
      <t>c</t>
    </r>
    <r>
      <rPr>
        <sz val="10"/>
        <color theme="1"/>
        <rFont val="Arial"/>
        <family val="2"/>
      </rPr>
      <t xml:space="preserve"> shall be in accordance with following;</t>
    </r>
  </si>
  <si>
    <r>
      <t>A</t>
    </r>
    <r>
      <rPr>
        <vertAlign val="subscript"/>
        <sz val="11"/>
        <color theme="1"/>
        <rFont val="Calibri"/>
        <family val="2"/>
        <scheme val="minor"/>
      </rPr>
      <t>min</t>
    </r>
    <r>
      <rPr>
        <sz val="11"/>
        <color theme="1"/>
        <rFont val="Calibri"/>
        <family val="2"/>
        <scheme val="minor"/>
      </rPr>
      <t xml:space="preserve"> = </t>
    </r>
    <r>
      <rPr>
        <i/>
        <sz val="11"/>
        <color theme="1"/>
        <rFont val="Calibri"/>
        <family val="2"/>
        <scheme val="minor"/>
      </rPr>
      <t>m</t>
    </r>
    <r>
      <rPr>
        <vertAlign val="subscript"/>
        <sz val="11"/>
        <color theme="1"/>
        <rFont val="Calibri"/>
        <family val="2"/>
        <scheme val="minor"/>
      </rPr>
      <t xml:space="preserve">c </t>
    </r>
    <r>
      <rPr>
        <sz val="11"/>
        <color theme="1"/>
        <rFont val="Calibri"/>
        <family val="2"/>
        <scheme val="minor"/>
      </rPr>
      <t>/(</t>
    </r>
    <r>
      <rPr>
        <i/>
        <sz val="11"/>
        <color theme="1"/>
        <rFont val="Calibri"/>
        <family val="2"/>
        <scheme val="minor"/>
      </rPr>
      <t>CF</t>
    </r>
    <r>
      <rPr>
        <sz val="11"/>
        <color theme="1"/>
        <rFont val="Calibri"/>
        <family val="2"/>
        <scheme val="minor"/>
      </rPr>
      <t xml:space="preserve"> × </t>
    </r>
    <r>
      <rPr>
        <i/>
        <sz val="11"/>
        <color theme="1"/>
        <rFont val="Calibri"/>
        <family val="2"/>
        <scheme val="minor"/>
      </rPr>
      <t>LFL</t>
    </r>
    <r>
      <rPr>
        <sz val="11"/>
        <color theme="1"/>
        <rFont val="Calibri"/>
        <family val="2"/>
        <scheme val="minor"/>
      </rPr>
      <t xml:space="preserve"> × 2,2)</t>
    </r>
  </si>
  <si>
    <t>(GG.42)</t>
  </si>
  <si>
    <r>
      <t xml:space="preserve">is a concentration factor not exceeding 0,5. The value shall be the value as used in the equation for calculating </t>
    </r>
    <r>
      <rPr>
        <i/>
        <sz val="10"/>
        <color theme="1"/>
        <rFont val="Arial"/>
        <family val="2"/>
      </rPr>
      <t>Q</t>
    </r>
    <r>
      <rPr>
        <vertAlign val="subscript"/>
        <sz val="10"/>
        <color theme="1"/>
        <rFont val="Arial"/>
        <family val="2"/>
      </rPr>
      <t>min</t>
    </r>
    <r>
      <rPr>
        <sz val="10"/>
        <color theme="1"/>
        <rFont val="Arial"/>
        <family val="2"/>
      </rPr>
      <t xml:space="preserve"> in Equation GG.43;</t>
    </r>
  </si>
  <si>
    <r>
      <t xml:space="preserve">The minimum </t>
    </r>
    <r>
      <rPr>
        <b/>
        <sz val="10"/>
        <color theme="1"/>
        <rFont val="Arial"/>
        <family val="2"/>
      </rPr>
      <t>circulation airflow</t>
    </r>
    <r>
      <rPr>
        <sz val="10"/>
        <color theme="1"/>
        <rFont val="Arial"/>
        <family val="2"/>
      </rPr>
      <t xml:space="preserve"> shall be determined as:</t>
    </r>
  </si>
  <si>
    <t>(GG.43)</t>
  </si>
  <si>
    <r>
      <t>A</t>
    </r>
    <r>
      <rPr>
        <vertAlign val="subscript"/>
        <sz val="10"/>
        <color theme="1"/>
        <rFont val="Arial"/>
        <family val="2"/>
      </rPr>
      <t>0</t>
    </r>
    <r>
      <rPr>
        <sz val="10"/>
        <color theme="1"/>
        <rFont val="Times New Roman"/>
        <family val="1"/>
      </rPr>
      <t xml:space="preserve"> </t>
    </r>
  </si>
  <si>
    <r>
      <t>is the discharge area of the airflow in m</t>
    </r>
    <r>
      <rPr>
        <vertAlign val="superscript"/>
        <sz val="10"/>
        <color theme="1"/>
        <rFont val="Arial"/>
        <family val="2"/>
      </rPr>
      <t>2</t>
    </r>
    <r>
      <rPr>
        <sz val="10"/>
        <color theme="1"/>
        <rFont val="Arial"/>
        <family val="2"/>
      </rPr>
      <t>. The value is the nominal face area of the outlet. The grille area shall not be deducted;</t>
    </r>
  </si>
  <si>
    <r>
      <t>m</t>
    </r>
    <r>
      <rPr>
        <vertAlign val="superscript"/>
        <sz val="10"/>
        <color theme="1"/>
        <rFont val="Arial"/>
        <family val="2"/>
      </rPr>
      <t>2</t>
    </r>
  </si>
  <si>
    <r>
      <t xml:space="preserve">is a constant, if there are leak sources outside the unit </t>
    </r>
    <r>
      <rPr>
        <i/>
        <sz val="10"/>
        <color theme="1"/>
        <rFont val="Arial"/>
        <family val="2"/>
      </rPr>
      <t>Y</t>
    </r>
    <r>
      <rPr>
        <sz val="10"/>
        <color theme="1"/>
        <rFont val="Arial"/>
        <family val="2"/>
      </rPr>
      <t xml:space="preserve"> = 1,5, otherwise </t>
    </r>
    <r>
      <rPr>
        <i/>
        <sz val="10"/>
        <color theme="1"/>
        <rFont val="Arial"/>
        <family val="2"/>
      </rPr>
      <t>Y</t>
    </r>
    <r>
      <rPr>
        <sz val="10"/>
        <color theme="1"/>
        <rFont val="Arial"/>
        <family val="2"/>
      </rPr>
      <t xml:space="preserve"> = 1; </t>
    </r>
  </si>
  <si>
    <t>is the refrigerant leak rate as determined in Table GG.6 in kg/s;</t>
  </si>
  <si>
    <r>
      <t xml:space="preserve">is the </t>
    </r>
    <r>
      <rPr>
        <b/>
        <sz val="10"/>
        <color theme="1"/>
        <rFont val="Arial"/>
        <family val="2"/>
      </rPr>
      <t>lower flammability limit</t>
    </r>
    <r>
      <rPr>
        <sz val="10"/>
        <color theme="1"/>
        <rFont val="Arial"/>
        <family val="2"/>
      </rPr>
      <t xml:space="preserve"> in kg/m</t>
    </r>
    <r>
      <rPr>
        <vertAlign val="superscript"/>
        <sz val="10"/>
        <color theme="1"/>
        <rFont val="Arial"/>
        <family val="2"/>
      </rPr>
      <t>3</t>
    </r>
    <r>
      <rPr>
        <sz val="10"/>
        <color theme="1"/>
        <rFont val="Arial"/>
        <family val="2"/>
      </rPr>
      <t>;</t>
    </r>
  </si>
  <si>
    <r>
      <t xml:space="preserve">is a concentration factor not exceeding 0,5. The value shall be the value as used in Equation GG.41 and Equation GG.42 for calculating </t>
    </r>
    <r>
      <rPr>
        <i/>
        <sz val="10"/>
        <color theme="1"/>
        <rFont val="Arial"/>
        <family val="2"/>
      </rPr>
      <t>A</t>
    </r>
    <r>
      <rPr>
        <vertAlign val="subscript"/>
        <sz val="10"/>
        <color theme="1"/>
        <rFont val="Arial"/>
        <family val="2"/>
      </rPr>
      <t>min</t>
    </r>
    <r>
      <rPr>
        <sz val="10"/>
        <color theme="1"/>
        <rFont val="Arial"/>
        <family val="2"/>
      </rPr>
      <t xml:space="preserve"> and </t>
    </r>
    <r>
      <rPr>
        <i/>
        <sz val="10"/>
        <color theme="1"/>
        <rFont val="Arial"/>
        <family val="2"/>
      </rPr>
      <t>m</t>
    </r>
    <r>
      <rPr>
        <vertAlign val="subscript"/>
        <sz val="10"/>
        <color theme="1"/>
        <rFont val="Arial"/>
        <family val="2"/>
      </rPr>
      <t>max</t>
    </r>
    <r>
      <rPr>
        <sz val="10"/>
        <color theme="1"/>
        <rFont val="Arial"/>
        <family val="2"/>
      </rPr>
      <t>.</t>
    </r>
  </si>
  <si>
    <r>
      <t>For refrigerants not listed in Table GG.6, leak mass flow rate (</t>
    </r>
    <r>
      <rPr>
        <i/>
        <sz val="10"/>
        <color theme="1"/>
        <rFont val="Times New Roman"/>
        <family val="1"/>
      </rPr>
      <t>ṁ</t>
    </r>
    <r>
      <rPr>
        <vertAlign val="subscript"/>
        <sz val="10"/>
        <color theme="1"/>
        <rFont val="Arial"/>
        <family val="2"/>
      </rPr>
      <t>leak</t>
    </r>
    <r>
      <rPr>
        <sz val="10"/>
        <color theme="1"/>
        <rFont val="Arial"/>
        <family val="2"/>
      </rPr>
      <t>) is calculated from:</t>
    </r>
  </si>
  <si>
    <r>
      <t>x 10</t>
    </r>
    <r>
      <rPr>
        <vertAlign val="superscript"/>
        <sz val="11"/>
        <color rgb="FFFF0000"/>
        <rFont val="Calibri"/>
        <family val="2"/>
        <scheme val="minor"/>
      </rPr>
      <t>-6</t>
    </r>
  </si>
  <si>
    <t>(GG.44)</t>
  </si>
  <si>
    <t>Note that there is an error in Equation GG.44!</t>
  </si>
  <si>
    <t>g/min</t>
  </si>
  <si>
    <t>kg/h</t>
  </si>
  <si>
    <t>is a reference leak mass flow rate in g/min;</t>
  </si>
  <si>
    <t>is a coefficient;</t>
  </si>
  <si>
    <r>
      <t>Ṁ</t>
    </r>
    <r>
      <rPr>
        <vertAlign val="subscript"/>
        <sz val="10"/>
        <color theme="1"/>
        <rFont val="Arial"/>
        <family val="2"/>
      </rPr>
      <t>s</t>
    </r>
    <r>
      <rPr>
        <sz val="10"/>
        <color theme="1"/>
        <rFont val="Arial"/>
        <family val="2"/>
      </rPr>
      <t xml:space="preserve"> </t>
    </r>
  </si>
  <si>
    <r>
      <t>is the choked flow mass flux in kg/m</t>
    </r>
    <r>
      <rPr>
        <vertAlign val="superscript"/>
        <sz val="10"/>
        <color theme="1"/>
        <rFont val="Arial"/>
        <family val="2"/>
      </rPr>
      <t>2</t>
    </r>
    <r>
      <rPr>
        <sz val="10"/>
        <color theme="1"/>
        <rFont val="Arial"/>
        <family val="2"/>
      </rPr>
      <t>s.</t>
    </r>
  </si>
  <si>
    <r>
      <t>kg/m</t>
    </r>
    <r>
      <rPr>
        <vertAlign val="superscript"/>
        <sz val="10"/>
        <color theme="1"/>
        <rFont val="Arial"/>
        <family val="2"/>
      </rPr>
      <t>2</t>
    </r>
    <r>
      <rPr>
        <sz val="10"/>
        <color theme="1"/>
        <rFont val="Arial"/>
        <family val="2"/>
      </rPr>
      <t>s</t>
    </r>
  </si>
  <si>
    <r>
      <t xml:space="preserve">The choked flow mass flux, </t>
    </r>
    <r>
      <rPr>
        <i/>
        <sz val="10"/>
        <color theme="1"/>
        <rFont val="Times New Roman"/>
        <family val="1"/>
      </rPr>
      <t>Ṁ</t>
    </r>
    <r>
      <rPr>
        <vertAlign val="subscript"/>
        <sz val="10"/>
        <color theme="1"/>
        <rFont val="Arial"/>
        <family val="2"/>
      </rPr>
      <t>s</t>
    </r>
    <r>
      <rPr>
        <sz val="10"/>
        <color theme="1"/>
        <rFont val="Arial"/>
        <family val="2"/>
      </rPr>
      <t>, is:</t>
    </r>
  </si>
  <si>
    <t>(GG.45)</t>
  </si>
  <si>
    <t>is the discharge coefficient;</t>
  </si>
  <si>
    <t>k</t>
  </si>
  <si>
    <t>is the ratio of specific heats of refrigerant vapour;</t>
  </si>
  <si>
    <r>
      <t>ρ</t>
    </r>
    <r>
      <rPr>
        <vertAlign val="subscript"/>
        <sz val="10"/>
        <color theme="1"/>
        <rFont val="Arial"/>
        <family val="2"/>
      </rPr>
      <t>0</t>
    </r>
  </si>
  <si>
    <r>
      <t>is the density of saturated refrigerant vapour at 45 °C in kg/m</t>
    </r>
    <r>
      <rPr>
        <vertAlign val="superscript"/>
        <sz val="10"/>
        <color theme="1"/>
        <rFont val="Arial"/>
        <family val="2"/>
      </rPr>
      <t>3</t>
    </r>
    <r>
      <rPr>
        <sz val="10"/>
        <color theme="1"/>
        <rFont val="Arial"/>
        <family val="2"/>
      </rPr>
      <t xml:space="preserve"> at the system pressure </t>
    </r>
    <r>
      <rPr>
        <i/>
        <sz val="10"/>
        <color theme="1"/>
        <rFont val="Arial"/>
        <family val="2"/>
      </rPr>
      <t>p</t>
    </r>
    <r>
      <rPr>
        <vertAlign val="subscript"/>
        <sz val="10"/>
        <color theme="1"/>
        <rFont val="Arial"/>
        <family val="2"/>
      </rPr>
      <t>0</t>
    </r>
    <r>
      <rPr>
        <sz val="10"/>
        <color theme="1"/>
        <rFont val="Arial"/>
        <family val="2"/>
      </rPr>
      <t>;</t>
    </r>
  </si>
  <si>
    <r>
      <t>kg/m</t>
    </r>
    <r>
      <rPr>
        <vertAlign val="superscript"/>
        <sz val="10"/>
        <color theme="1"/>
        <rFont val="Arial"/>
        <family val="2"/>
      </rPr>
      <t>3</t>
    </r>
  </si>
  <si>
    <r>
      <t>p</t>
    </r>
    <r>
      <rPr>
        <vertAlign val="subscript"/>
        <sz val="10"/>
        <color theme="1"/>
        <rFont val="Arial"/>
        <family val="2"/>
      </rPr>
      <t>0</t>
    </r>
  </si>
  <si>
    <t>is the pressure in the system at 45 °C in Pa.</t>
  </si>
  <si>
    <t>Pa</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</si>
</sst>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color theme="1"/>
      <name val="Arial"/>
      <family val="2"/>
    </font>
    <font>
      <i/>
      <sz val="10"/>
      <color theme="1"/>
      <name val="Times New Roman"/>
      <family val="1"/>
    </font>
    <font>
      <sz val="8"/>
      <color theme="1"/>
      <name val="Arial"/>
      <family val="2"/>
    </font>
    <font>
      <sz val="10"/>
      <color theme="1"/>
      <name val="Symbol"/>
      <family val="1"/>
      <charset val="2"/>
    </font>
    <font>
      <b/>
      <sz val="10"/>
      <color theme="1"/>
      <name val="Arial"/>
      <family val="2"/>
    </font>
    <font>
      <i/>
      <sz val="10"/>
      <color theme="1"/>
      <name val="Arial"/>
      <family val="2"/>
    </font>
    <font>
      <sz val="8.5"/>
      <color theme="1"/>
      <name val="Arial"/>
      <family val="2"/>
    </font>
    <font>
      <vertAlign val="superscript"/>
      <sz val="11"/>
      <color theme="1"/>
      <name val="Calibri"/>
      <family val="2"/>
      <scheme val="minor"/>
    </font>
    <font>
      <sz val="6"/>
      <color theme="1"/>
      <name val="Arial"/>
      <family val="2"/>
    </font>
    <font>
      <sz val="10"/>
      <color theme="1"/>
      <name val="Times New Roman"/>
      <family val="1"/>
    </font>
    <font>
      <b/>
      <sz val="10"/>
      <color theme="1"/>
      <name val="Times New Roman"/>
      <family val="1"/>
    </font>
    <font>
      <b/>
      <i/>
      <sz val="10"/>
      <color theme="1"/>
      <name val="Times New Roman"/>
      <family val="1"/>
    </font>
    <font>
      <sz val="10"/>
      <color rgb="FF000000"/>
      <name val="Arial"/>
      <family val="2"/>
    </font>
    <font>
      <b/>
      <sz val="11"/>
      <color theme="1"/>
      <name val="Arial"/>
      <family val="2"/>
    </font>
    <font>
      <b/>
      <sz val="10"/>
      <color theme="1"/>
      <name val="Symbol"/>
      <family val="1"/>
      <charset val="2"/>
    </font>
    <font>
      <b/>
      <i/>
      <sz val="10"/>
      <color theme="1"/>
      <name val="Arial"/>
      <family val="2"/>
    </font>
    <font>
      <i/>
      <sz val="11"/>
      <color theme="1"/>
      <name val="Calibri"/>
      <family val="2"/>
      <scheme val="minor"/>
    </font>
    <font>
      <vertAlign val="subscript"/>
      <sz val="10"/>
      <color theme="1"/>
      <name val="Arial"/>
      <family val="2"/>
    </font>
    <font>
      <vertAlign val="subscript"/>
      <sz val="10"/>
      <color theme="1"/>
      <name val="Times New Roman"/>
      <family val="1"/>
    </font>
    <font>
      <i/>
      <sz val="10"/>
      <color rgb="FF000000"/>
      <name val="Arial"/>
      <family val="2"/>
    </font>
    <font>
      <b/>
      <sz val="10"/>
      <color rgb="FF000000"/>
      <name val="Arial"/>
      <family val="2"/>
    </font>
    <font>
      <sz val="7"/>
      <color theme="1"/>
      <name val="Times New Roman"/>
      <family val="1"/>
    </font>
    <font>
      <sz val="11"/>
      <color theme="1"/>
      <name val="Calibri"/>
      <family val="2"/>
    </font>
    <font>
      <sz val="10"/>
      <color theme="0" tint="-0.499984740745262"/>
      <name val="Arial"/>
      <family val="2"/>
    </font>
    <font>
      <sz val="11"/>
      <color theme="0" tint="-0.499984740745262"/>
      <name val="Calibri"/>
      <family val="2"/>
      <scheme val="minor"/>
    </font>
    <font>
      <b/>
      <sz val="11"/>
      <color theme="1"/>
      <name val="Calibri"/>
      <family val="2"/>
      <scheme val="minor"/>
    </font>
    <font>
      <i/>
      <sz val="11"/>
      <color theme="1"/>
      <name val="Arial"/>
      <family val="2"/>
    </font>
    <font>
      <sz val="8"/>
      <color theme="1"/>
      <name val="Calibri"/>
      <family val="2"/>
      <scheme val="minor"/>
    </font>
    <font>
      <vertAlign val="subscript"/>
      <sz val="8"/>
      <color theme="1"/>
      <name val="Arial"/>
      <family val="2"/>
    </font>
    <font>
      <vertAlign val="superscript"/>
      <sz val="8"/>
      <color theme="1"/>
      <name val="Arial"/>
      <family val="2"/>
    </font>
    <font>
      <vertAlign val="superscript"/>
      <sz val="10"/>
      <color theme="1"/>
      <name val="Arial"/>
      <family val="2"/>
    </font>
    <font>
      <vertAlign val="subscript"/>
      <sz val="11"/>
      <color theme="1"/>
      <name val="Calibri"/>
      <family val="2"/>
      <scheme val="minor"/>
    </font>
    <font>
      <i/>
      <vertAlign val="subscript"/>
      <sz val="11"/>
      <color theme="1"/>
      <name val="Calibri"/>
      <family val="2"/>
      <scheme val="minor"/>
    </font>
    <font>
      <vertAlign val="subscript"/>
      <sz val="6"/>
      <color theme="1"/>
      <name val="Arial"/>
      <family val="2"/>
    </font>
    <font>
      <sz val="8"/>
      <color theme="1"/>
      <name val="Times New Roman"/>
      <family val="1"/>
    </font>
    <font>
      <vertAlign val="subscript"/>
      <sz val="8"/>
      <color theme="1"/>
      <name val="Times New Roman"/>
      <family val="1"/>
    </font>
    <font>
      <sz val="11"/>
      <color rgb="FFFF0000"/>
      <name val="Calibri"/>
      <family val="2"/>
      <scheme val="minor"/>
    </font>
    <font>
      <vertAlign val="superscript"/>
      <sz val="11"/>
      <color rgb="FFFF0000"/>
      <name val="Calibri"/>
      <family val="2"/>
      <scheme val="minor"/>
    </font>
    <font>
      <b/>
      <sz val="16"/>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249977111117893"/>
        <bgColor indexed="64"/>
      </patternFill>
    </fill>
  </fills>
  <borders count="1">
    <border>
      <left/>
      <right/>
      <top/>
      <bottom/>
      <diagonal/>
    </border>
  </borders>
  <cellStyleXfs count="2">
    <xf numFmtId="0" fontId="0" fillId="0" borderId="0"/>
    <xf numFmtId="0" fontId="40" fillId="0" borderId="0" applyNumberFormat="0" applyFill="0" applyBorder="0" applyAlignment="0" applyProtection="0"/>
  </cellStyleXfs>
  <cellXfs count="70">
    <xf numFmtId="0" fontId="0" fillId="0" borderId="0" xfId="0"/>
    <xf numFmtId="0" fontId="2" fillId="0" borderId="0" xfId="0" applyFont="1"/>
    <xf numFmtId="0" fontId="2" fillId="0" borderId="0" xfId="0" applyFont="1" applyAlignment="1">
      <alignment horizontal="justify" vertical="center"/>
    </xf>
    <xf numFmtId="0" fontId="1" fillId="0" borderId="0" xfId="0" applyFont="1" applyAlignment="1">
      <alignment horizontal="justify" vertical="center"/>
    </xf>
    <xf numFmtId="0" fontId="1" fillId="0" borderId="0" xfId="0" applyFont="1"/>
    <xf numFmtId="0" fontId="1" fillId="0" borderId="0" xfId="0" applyFont="1" applyAlignment="1">
      <alignment vertical="center" wrapText="1"/>
    </xf>
    <xf numFmtId="0" fontId="5" fillId="0" borderId="0" xfId="0" applyFont="1"/>
    <xf numFmtId="0" fontId="5" fillId="0" borderId="0" xfId="0" applyFont="1" applyAlignment="1">
      <alignment vertical="center"/>
    </xf>
    <xf numFmtId="0" fontId="0" fillId="2" borderId="0" xfId="0" applyFill="1"/>
    <xf numFmtId="0" fontId="0" fillId="3" borderId="0" xfId="0" applyFill="1"/>
    <xf numFmtId="0" fontId="4" fillId="0" borderId="0" xfId="0" applyFont="1" applyAlignment="1">
      <alignment horizontal="justify" vertical="center"/>
    </xf>
    <xf numFmtId="0" fontId="0" fillId="0" borderId="0" xfId="0" applyFill="1"/>
    <xf numFmtId="0" fontId="4" fillId="0" borderId="0" xfId="0" applyFont="1" applyAlignment="1">
      <alignment vertical="center" wrapText="1"/>
    </xf>
    <xf numFmtId="0" fontId="6" fillId="0" borderId="0" xfId="0" applyFont="1"/>
    <xf numFmtId="0" fontId="0" fillId="3" borderId="0" xfId="0" quotePrefix="1" applyFill="1"/>
    <xf numFmtId="0" fontId="10" fillId="0" borderId="0" xfId="0" applyFont="1" applyAlignment="1">
      <alignment horizontal="justify" vertical="center"/>
    </xf>
    <xf numFmtId="0" fontId="6" fillId="0" borderId="0" xfId="0" applyFont="1" applyAlignment="1">
      <alignment horizontal="justify" vertical="center"/>
    </xf>
    <xf numFmtId="0" fontId="5" fillId="0" borderId="0" xfId="0" applyFont="1" applyAlignment="1">
      <alignment horizontal="left" vertical="center"/>
    </xf>
    <xf numFmtId="0" fontId="0" fillId="0" borderId="0" xfId="0" quotePrefix="1" applyFill="1"/>
    <xf numFmtId="0" fontId="1" fillId="0" borderId="0" xfId="0" applyFont="1" applyAlignment="1">
      <alignment horizontal="left" vertical="center" indent="1"/>
    </xf>
    <xf numFmtId="0" fontId="2" fillId="0" borderId="0" xfId="0" applyFont="1" applyFill="1" applyAlignment="1">
      <alignment horizontal="justify" vertical="center"/>
    </xf>
    <xf numFmtId="0" fontId="1" fillId="0" borderId="0" xfId="0" applyFont="1" applyFill="1" applyAlignment="1">
      <alignment horizontal="justify" vertical="center"/>
    </xf>
    <xf numFmtId="0" fontId="0" fillId="4" borderId="0" xfId="0" applyFill="1"/>
    <xf numFmtId="0" fontId="14" fillId="0" borderId="0" xfId="0" applyFont="1" applyAlignment="1">
      <alignment horizontal="left" vertical="center"/>
    </xf>
    <xf numFmtId="0" fontId="13" fillId="0" borderId="0" xfId="0" applyFont="1" applyAlignment="1">
      <alignment horizontal="justify" vertical="center"/>
    </xf>
    <xf numFmtId="0" fontId="14" fillId="0" borderId="0" xfId="0" applyFont="1" applyAlignment="1">
      <alignment vertical="center" wrapText="1"/>
    </xf>
    <xf numFmtId="0" fontId="11" fillId="0" borderId="0" xfId="0" applyFont="1" applyAlignment="1">
      <alignment horizontal="justify" vertical="center"/>
    </xf>
    <xf numFmtId="0" fontId="23" fillId="0" borderId="0" xfId="0" applyFont="1"/>
    <xf numFmtId="0" fontId="0" fillId="0" borderId="0" xfId="0" applyFont="1"/>
    <xf numFmtId="0" fontId="1" fillId="4" borderId="0" xfId="0" applyFont="1" applyFill="1"/>
    <xf numFmtId="0" fontId="17" fillId="0" borderId="0" xfId="0" applyFont="1"/>
    <xf numFmtId="0" fontId="24" fillId="5" borderId="0" xfId="0" applyFont="1" applyFill="1" applyAlignment="1">
      <alignment horizontal="justify" vertical="center"/>
    </xf>
    <xf numFmtId="0" fontId="25" fillId="5" borderId="0" xfId="0" applyFont="1" applyFill="1"/>
    <xf numFmtId="0" fontId="1" fillId="0" borderId="0" xfId="0" applyFont="1" applyAlignment="1">
      <alignment wrapText="1"/>
    </xf>
    <xf numFmtId="0" fontId="0" fillId="0" borderId="0" xfId="0" applyAlignment="1">
      <alignment vertical="center"/>
    </xf>
    <xf numFmtId="0" fontId="0" fillId="0" borderId="0" xfId="0"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17" fillId="0" borderId="0" xfId="0" applyFont="1" applyAlignment="1">
      <alignment vertical="top"/>
    </xf>
    <xf numFmtId="0" fontId="17" fillId="0" borderId="0" xfId="0" applyFont="1" applyAlignment="1">
      <alignment vertical="center"/>
    </xf>
    <xf numFmtId="0" fontId="0" fillId="0" borderId="0" xfId="0" applyAlignment="1">
      <alignment wrapText="1"/>
    </xf>
    <xf numFmtId="0" fontId="5" fillId="0" borderId="0" xfId="0" applyFont="1" applyAlignment="1">
      <alignment vertical="top"/>
    </xf>
    <xf numFmtId="0" fontId="1" fillId="4" borderId="0" xfId="0" applyFont="1" applyFill="1" applyAlignment="1">
      <alignment horizontal="justify" vertical="center"/>
    </xf>
    <xf numFmtId="0" fontId="0" fillId="4" borderId="0" xfId="0" applyFont="1" applyFill="1"/>
    <xf numFmtId="0" fontId="2" fillId="0" borderId="0" xfId="0" applyFont="1" applyAlignment="1">
      <alignment horizontal="justify" vertical="top"/>
    </xf>
    <xf numFmtId="0" fontId="0" fillId="2" borderId="0" xfId="0" applyFill="1" applyAlignment="1">
      <alignment vertical="center"/>
    </xf>
    <xf numFmtId="0" fontId="0" fillId="6" borderId="0" xfId="0" quotePrefix="1" applyFill="1"/>
    <xf numFmtId="0" fontId="37" fillId="0" borderId="0" xfId="0" applyFont="1" applyAlignment="1">
      <alignment horizontal="center"/>
    </xf>
    <xf numFmtId="0" fontId="39" fillId="0" borderId="0" xfId="0" applyFont="1"/>
    <xf numFmtId="0" fontId="0" fillId="2" borderId="0" xfId="0" applyFill="1" applyAlignment="1">
      <alignment wrapText="1"/>
    </xf>
    <xf numFmtId="0" fontId="0" fillId="3" borderId="0" xfId="0" applyFill="1" applyAlignment="1">
      <alignment wrapText="1"/>
    </xf>
    <xf numFmtId="0" fontId="37" fillId="0" borderId="0" xfId="0" applyFont="1"/>
    <xf numFmtId="0" fontId="0" fillId="4" borderId="0" xfId="0" applyFill="1" applyAlignment="1">
      <alignment wrapText="1"/>
    </xf>
    <xf numFmtId="0" fontId="40" fillId="0" borderId="0" xfId="1"/>
    <xf numFmtId="0" fontId="26" fillId="0" borderId="0" xfId="0" applyFont="1"/>
    <xf numFmtId="0" fontId="1" fillId="0" borderId="0" xfId="0" applyFont="1" applyAlignment="1">
      <alignment horizontal="left" vertical="center"/>
    </xf>
    <xf numFmtId="0" fontId="14"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wrapText="1"/>
    </xf>
    <xf numFmtId="0" fontId="17" fillId="0" borderId="0" xfId="0" applyFont="1" applyAlignment="1">
      <alignment horizontal="left"/>
    </xf>
    <xf numFmtId="0" fontId="11" fillId="0" borderId="0" xfId="0" applyFont="1" applyFill="1" applyAlignment="1">
      <alignment horizontal="left" vertical="center"/>
    </xf>
    <xf numFmtId="0" fontId="1" fillId="0" borderId="0" xfId="0" applyFont="1" applyAlignment="1">
      <alignment horizontal="left" wrapText="1"/>
    </xf>
    <xf numFmtId="0" fontId="5" fillId="0" borderId="0" xfId="0" applyFont="1" applyAlignment="1">
      <alignment horizontal="left" vertical="center" wrapText="1"/>
    </xf>
    <xf numFmtId="0" fontId="0" fillId="0" borderId="0" xfId="0" applyAlignment="1">
      <alignment horizontal="left"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4" fillId="0" borderId="0" xfId="0" applyFont="1" applyAlignment="1">
      <alignment horizontal="left" vertical="center" wrapText="1"/>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image" Target="../media/image3.wmf"/><Relationship Id="rId1" Type="http://schemas.openxmlformats.org/officeDocument/2006/relationships/image" Target="../media/image2.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w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9.wmf"/><Relationship Id="rId1" Type="http://schemas.openxmlformats.org/officeDocument/2006/relationships/image" Target="../media/image8.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w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4.wmf"/><Relationship Id="rId2" Type="http://schemas.openxmlformats.org/officeDocument/2006/relationships/image" Target="../media/image13.wmf"/><Relationship Id="rId1" Type="http://schemas.openxmlformats.org/officeDocument/2006/relationships/image" Target="../media/image12.wmf"/><Relationship Id="rId4" Type="http://schemas.openxmlformats.org/officeDocument/2006/relationships/image" Target="../media/image15.w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18.wmf"/><Relationship Id="rId2" Type="http://schemas.openxmlformats.org/officeDocument/2006/relationships/image" Target="../media/image17.wmf"/><Relationship Id="rId1" Type="http://schemas.openxmlformats.org/officeDocument/2006/relationships/image" Target="../media/image16.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88900</xdr:colOff>
          <xdr:row>4</xdr:row>
          <xdr:rowOff>114300</xdr:rowOff>
        </xdr:from>
        <xdr:to>
          <xdr:col>1</xdr:col>
          <xdr:colOff>2647950</xdr:colOff>
          <xdr:row>6</xdr:row>
          <xdr:rowOff>165100</xdr:rowOff>
        </xdr:to>
        <xdr:sp macro="" textlink="">
          <xdr:nvSpPr>
            <xdr:cNvPr id="2050" name="Object 2" hidden="1">
              <a:extLst>
                <a:ext uri="{63B3BB69-23CF-44E3-9099-C40C66FF867C}">
                  <a14:compatExt spid="_x0000_s2050"/>
                </a:ext>
                <a:ext uri="{FF2B5EF4-FFF2-40B4-BE49-F238E27FC236}">
                  <a16:creationId xmlns:a16="http://schemas.microsoft.com/office/drawing/2014/main" xmlns="" id="{00000000-0008-0000-02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50800</xdr:colOff>
          <xdr:row>41</xdr:row>
          <xdr:rowOff>50800</xdr:rowOff>
        </xdr:from>
        <xdr:to>
          <xdr:col>1</xdr:col>
          <xdr:colOff>3048000</xdr:colOff>
          <xdr:row>45</xdr:row>
          <xdr:rowOff>133350</xdr:rowOff>
        </xdr:to>
        <xdr:sp macro="" textlink="">
          <xdr:nvSpPr>
            <xdr:cNvPr id="5122" name="Object 2" hidden="1">
              <a:extLst>
                <a:ext uri="{63B3BB69-23CF-44E3-9099-C40C66FF867C}">
                  <a14:compatExt spid="_x0000_s5122"/>
                </a:ext>
                <a:ext uri="{FF2B5EF4-FFF2-40B4-BE49-F238E27FC236}">
                  <a16:creationId xmlns:a16="http://schemas.microsoft.com/office/drawing/2014/main" xmlns="" id="{00000000-0008-0000-0400-00000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48</xdr:row>
          <xdr:rowOff>0</xdr:rowOff>
        </xdr:from>
        <xdr:to>
          <xdr:col>0</xdr:col>
          <xdr:colOff>146050</xdr:colOff>
          <xdr:row>48</xdr:row>
          <xdr:rowOff>152400</xdr:rowOff>
        </xdr:to>
        <xdr:sp macro="" textlink="">
          <xdr:nvSpPr>
            <xdr:cNvPr id="5125" name="Object 5" hidden="1">
              <a:extLst>
                <a:ext uri="{63B3BB69-23CF-44E3-9099-C40C66FF867C}">
                  <a14:compatExt spid="_x0000_s5125"/>
                </a:ext>
                <a:ext uri="{FF2B5EF4-FFF2-40B4-BE49-F238E27FC236}">
                  <a16:creationId xmlns:a16="http://schemas.microsoft.com/office/drawing/2014/main" xmlns="" id="{00000000-0008-0000-0400-00000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755650</xdr:colOff>
          <xdr:row>48</xdr:row>
          <xdr:rowOff>171450</xdr:rowOff>
        </xdr:from>
        <xdr:to>
          <xdr:col>1</xdr:col>
          <xdr:colOff>895350</xdr:colOff>
          <xdr:row>49</xdr:row>
          <xdr:rowOff>0</xdr:rowOff>
        </xdr:to>
        <xdr:sp macro="" textlink="">
          <xdr:nvSpPr>
            <xdr:cNvPr id="5124" name="Object 4" hidden="1">
              <a:extLst>
                <a:ext uri="{63B3BB69-23CF-44E3-9099-C40C66FF867C}">
                  <a14:compatExt spid="_x0000_s5124"/>
                </a:ext>
                <a:ext uri="{FF2B5EF4-FFF2-40B4-BE49-F238E27FC236}">
                  <a16:creationId xmlns:a16="http://schemas.microsoft.com/office/drawing/2014/main" xmlns="" id="{00000000-0008-0000-0400-00000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85725</xdr:colOff>
      <xdr:row>50</xdr:row>
      <xdr:rowOff>0</xdr:rowOff>
    </xdr:from>
    <xdr:to>
      <xdr:col>0</xdr:col>
      <xdr:colOff>228600</xdr:colOff>
      <xdr:row>50</xdr:row>
      <xdr:rowOff>142875</xdr:rowOff>
    </xdr:to>
    <xdr:pic>
      <xdr:nvPicPr>
        <xdr:cNvPr id="6" name="Picture 5">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725" y="62198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19</xdr:row>
      <xdr:rowOff>180975</xdr:rowOff>
    </xdr:from>
    <xdr:to>
      <xdr:col>4</xdr:col>
      <xdr:colOff>485775</xdr:colOff>
      <xdr:row>36</xdr:row>
      <xdr:rowOff>76200</xdr:rowOff>
    </xdr:to>
    <xdr:pic>
      <xdr:nvPicPr>
        <xdr:cNvPr id="7" name="Picture 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4171950"/>
          <a:ext cx="576262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20</xdr:row>
          <xdr:rowOff>0</xdr:rowOff>
        </xdr:from>
        <xdr:to>
          <xdr:col>1</xdr:col>
          <xdr:colOff>2451100</xdr:colOff>
          <xdr:row>22</xdr:row>
          <xdr:rowOff>114300</xdr:rowOff>
        </xdr:to>
        <xdr:sp macro="" textlink="">
          <xdr:nvSpPr>
            <xdr:cNvPr id="4097" name="Object 1" hidden="1">
              <a:extLst>
                <a:ext uri="{63B3BB69-23CF-44E3-9099-C40C66FF867C}">
                  <a14:compatExt spid="_x0000_s4097"/>
                </a:ext>
                <a:ext uri="{FF2B5EF4-FFF2-40B4-BE49-F238E27FC236}">
                  <a16:creationId xmlns:a16="http://schemas.microsoft.com/office/drawing/2014/main" xmlns="" id="{00000000-0008-0000-05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4</xdr:row>
          <xdr:rowOff>38100</xdr:rowOff>
        </xdr:from>
        <xdr:to>
          <xdr:col>1</xdr:col>
          <xdr:colOff>1079500</xdr:colOff>
          <xdr:row>8</xdr:row>
          <xdr:rowOff>76200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xmlns="" id="{00000000-0008-0000-0800-000002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69850</xdr:colOff>
          <xdr:row>9</xdr:row>
          <xdr:rowOff>76200</xdr:rowOff>
        </xdr:from>
        <xdr:to>
          <xdr:col>1</xdr:col>
          <xdr:colOff>1727200</xdr:colOff>
          <xdr:row>11</xdr:row>
          <xdr:rowOff>88900</xdr:rowOff>
        </xdr:to>
        <xdr:sp macro="" textlink="">
          <xdr:nvSpPr>
            <xdr:cNvPr id="11268" name="Object 4" hidden="1">
              <a:extLst>
                <a:ext uri="{63B3BB69-23CF-44E3-9099-C40C66FF867C}">
                  <a14:compatExt spid="_x0000_s11268"/>
                </a:ext>
                <a:ext uri="{FF2B5EF4-FFF2-40B4-BE49-F238E27FC236}">
                  <a16:creationId xmlns:a16="http://schemas.microsoft.com/office/drawing/2014/main" xmlns="" id="{00000000-0008-0000-0800-000004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5</xdr:row>
          <xdr:rowOff>146050</xdr:rowOff>
        </xdr:from>
        <xdr:to>
          <xdr:col>1</xdr:col>
          <xdr:colOff>1657350</xdr:colOff>
          <xdr:row>7</xdr:row>
          <xdr:rowOff>107950</xdr:rowOff>
        </xdr:to>
        <xdr:sp macro="" textlink="">
          <xdr:nvSpPr>
            <xdr:cNvPr id="12290" name="Object 2" hidden="1">
              <a:extLst>
                <a:ext uri="{63B3BB69-23CF-44E3-9099-C40C66FF867C}">
                  <a14:compatExt spid="_x0000_s12290"/>
                </a:ext>
                <a:ext uri="{FF2B5EF4-FFF2-40B4-BE49-F238E27FC236}">
                  <a16:creationId xmlns:a16="http://schemas.microsoft.com/office/drawing/2014/main" xmlns="" id="{00000000-0008-0000-0900-000002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95251</xdr:colOff>
      <xdr:row>68</xdr:row>
      <xdr:rowOff>161926</xdr:rowOff>
    </xdr:from>
    <xdr:to>
      <xdr:col>4</xdr:col>
      <xdr:colOff>428626</xdr:colOff>
      <xdr:row>81</xdr:row>
      <xdr:rowOff>13200</xdr:rowOff>
    </xdr:to>
    <xdr:grpSp>
      <xdr:nvGrpSpPr>
        <xdr:cNvPr id="4" name="Group 3">
          <a:extLst>
            <a:ext uri="{FF2B5EF4-FFF2-40B4-BE49-F238E27FC236}">
              <a16:creationId xmlns:a16="http://schemas.microsoft.com/office/drawing/2014/main" xmlns="" id="{00000000-0008-0000-0B00-000004000000}"/>
            </a:ext>
          </a:extLst>
        </xdr:cNvPr>
        <xdr:cNvGrpSpPr/>
      </xdr:nvGrpSpPr>
      <xdr:grpSpPr>
        <a:xfrm>
          <a:off x="95251" y="15401926"/>
          <a:ext cx="5600700" cy="2203949"/>
          <a:chOff x="95251" y="15992476"/>
          <a:chExt cx="5600700" cy="2327774"/>
        </a:xfrm>
      </xdr:grpSpPr>
      <xdr:pic>
        <xdr:nvPicPr>
          <xdr:cNvPr id="3" name="Picture 2">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1" y="15992476"/>
            <a:ext cx="5600700" cy="232777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5466815" y="16027634"/>
            <a:ext cx="215380" cy="1722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GB" sz="1100"/>
              <a:t>  m</a:t>
            </a:r>
            <a:r>
              <a:rPr lang="en-GB" sz="900" baseline="-25000"/>
              <a:t>3</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184150</xdr:colOff>
          <xdr:row>54</xdr:row>
          <xdr:rowOff>146050</xdr:rowOff>
        </xdr:from>
        <xdr:to>
          <xdr:col>1</xdr:col>
          <xdr:colOff>1212850</xdr:colOff>
          <xdr:row>56</xdr:row>
          <xdr:rowOff>114300</xdr:rowOff>
        </xdr:to>
        <xdr:sp macro="" textlink="">
          <xdr:nvSpPr>
            <xdr:cNvPr id="15362" name="Object 2" hidden="1">
              <a:extLst>
                <a:ext uri="{63B3BB69-23CF-44E3-9099-C40C66FF867C}">
                  <a14:compatExt spid="_x0000_s15362"/>
                </a:ext>
                <a:ext uri="{FF2B5EF4-FFF2-40B4-BE49-F238E27FC236}">
                  <a16:creationId xmlns:a16="http://schemas.microsoft.com/office/drawing/2014/main" xmlns="" id="{00000000-0008-0000-0C00-000002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22</xdr:row>
          <xdr:rowOff>69850</xdr:rowOff>
        </xdr:from>
        <xdr:to>
          <xdr:col>1</xdr:col>
          <xdr:colOff>2609850</xdr:colOff>
          <xdr:row>24</xdr:row>
          <xdr:rowOff>127000</xdr:rowOff>
        </xdr:to>
        <xdr:sp macro="" textlink="">
          <xdr:nvSpPr>
            <xdr:cNvPr id="15364" name="Object 4" hidden="1">
              <a:extLst>
                <a:ext uri="{63B3BB69-23CF-44E3-9099-C40C66FF867C}">
                  <a14:compatExt spid="_x0000_s15364"/>
                </a:ext>
                <a:ext uri="{FF2B5EF4-FFF2-40B4-BE49-F238E27FC236}">
                  <a16:creationId xmlns:a16="http://schemas.microsoft.com/office/drawing/2014/main" xmlns="" id="{00000000-0008-0000-0C00-000004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35</xdr:row>
          <xdr:rowOff>12700</xdr:rowOff>
        </xdr:from>
        <xdr:to>
          <xdr:col>1</xdr:col>
          <xdr:colOff>1898650</xdr:colOff>
          <xdr:row>37</xdr:row>
          <xdr:rowOff>38100</xdr:rowOff>
        </xdr:to>
        <xdr:sp macro="" textlink="">
          <xdr:nvSpPr>
            <xdr:cNvPr id="15365" name="Object 5" hidden="1">
              <a:extLst>
                <a:ext uri="{63B3BB69-23CF-44E3-9099-C40C66FF867C}">
                  <a14:compatExt spid="_x0000_s15365"/>
                </a:ext>
                <a:ext uri="{FF2B5EF4-FFF2-40B4-BE49-F238E27FC236}">
                  <a16:creationId xmlns:a16="http://schemas.microsoft.com/office/drawing/2014/main" xmlns="" id="{00000000-0008-0000-0C00-000005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48</xdr:row>
          <xdr:rowOff>50800</xdr:rowOff>
        </xdr:from>
        <xdr:to>
          <xdr:col>1</xdr:col>
          <xdr:colOff>2413000</xdr:colOff>
          <xdr:row>50</xdr:row>
          <xdr:rowOff>127000</xdr:rowOff>
        </xdr:to>
        <xdr:sp macro="" textlink="">
          <xdr:nvSpPr>
            <xdr:cNvPr id="15366" name="Object 6" hidden="1">
              <a:extLst>
                <a:ext uri="{63B3BB69-23CF-44E3-9099-C40C66FF867C}">
                  <a14:compatExt spid="_x0000_s15366"/>
                </a:ext>
                <a:ext uri="{FF2B5EF4-FFF2-40B4-BE49-F238E27FC236}">
                  <a16:creationId xmlns:a16="http://schemas.microsoft.com/office/drawing/2014/main" xmlns="" id="{00000000-0008-0000-0C00-000006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88900</xdr:colOff>
          <xdr:row>20</xdr:row>
          <xdr:rowOff>69850</xdr:rowOff>
        </xdr:from>
        <xdr:to>
          <xdr:col>1</xdr:col>
          <xdr:colOff>2374900</xdr:colOff>
          <xdr:row>23</xdr:row>
          <xdr:rowOff>19050</xdr:rowOff>
        </xdr:to>
        <xdr:sp macro="" textlink="">
          <xdr:nvSpPr>
            <xdr:cNvPr id="23554" name="Object 2" hidden="1">
              <a:extLst>
                <a:ext uri="{63B3BB69-23CF-44E3-9099-C40C66FF867C}">
                  <a14:compatExt spid="_x0000_s23554"/>
                </a:ext>
                <a:ext uri="{FF2B5EF4-FFF2-40B4-BE49-F238E27FC236}">
                  <a16:creationId xmlns:a16="http://schemas.microsoft.com/office/drawing/2014/main" xmlns="" id="{00000000-0008-0000-0F00-000002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xdr:colOff>
          <xdr:row>34</xdr:row>
          <xdr:rowOff>19050</xdr:rowOff>
        </xdr:from>
        <xdr:to>
          <xdr:col>1</xdr:col>
          <xdr:colOff>1219200</xdr:colOff>
          <xdr:row>36</xdr:row>
          <xdr:rowOff>95250</xdr:rowOff>
        </xdr:to>
        <xdr:sp macro="" textlink="">
          <xdr:nvSpPr>
            <xdr:cNvPr id="23555" name="Object 3" hidden="1">
              <a:extLst>
                <a:ext uri="{63B3BB69-23CF-44E3-9099-C40C66FF867C}">
                  <a14:compatExt spid="_x0000_s23555"/>
                </a:ext>
                <a:ext uri="{FF2B5EF4-FFF2-40B4-BE49-F238E27FC236}">
                  <a16:creationId xmlns:a16="http://schemas.microsoft.com/office/drawing/2014/main" xmlns="" id="{00000000-0008-0000-0F00-000003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43</xdr:row>
          <xdr:rowOff>50800</xdr:rowOff>
        </xdr:from>
        <xdr:to>
          <xdr:col>1</xdr:col>
          <xdr:colOff>2019300</xdr:colOff>
          <xdr:row>46</xdr:row>
          <xdr:rowOff>31750</xdr:rowOff>
        </xdr:to>
        <xdr:sp macro="" textlink="">
          <xdr:nvSpPr>
            <xdr:cNvPr id="23556" name="Object 4" hidden="1">
              <a:extLst>
                <a:ext uri="{63B3BB69-23CF-44E3-9099-C40C66FF867C}">
                  <a14:compatExt spid="_x0000_s23556"/>
                </a:ext>
                <a:ext uri="{FF2B5EF4-FFF2-40B4-BE49-F238E27FC236}">
                  <a16:creationId xmlns:a16="http://schemas.microsoft.com/office/drawing/2014/main" xmlns="" id="{00000000-0008-0000-0F00-000004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onsild@vonsild-consulting.com" TargetMode="External"/><Relationship Id="rId1" Type="http://schemas.openxmlformats.org/officeDocument/2006/relationships/hyperlink" Target="about:blankwww.vonsild-consulting.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10.wmf"/><Relationship Id="rId4" Type="http://schemas.openxmlformats.org/officeDocument/2006/relationships/oleObject" Target="../embeddings/oleObject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11.bin"/><Relationship Id="rId3" Type="http://schemas.openxmlformats.org/officeDocument/2006/relationships/vmlDrawing" Target="../drawings/vmlDrawing6.vml"/><Relationship Id="rId7" Type="http://schemas.openxmlformats.org/officeDocument/2006/relationships/image" Target="../media/image13.wmf"/><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oleObject" Target="../embeddings/oleObject10.bin"/><Relationship Id="rId11" Type="http://schemas.openxmlformats.org/officeDocument/2006/relationships/image" Target="../media/image15.wmf"/><Relationship Id="rId5" Type="http://schemas.openxmlformats.org/officeDocument/2006/relationships/image" Target="../media/image12.wmf"/><Relationship Id="rId10" Type="http://schemas.openxmlformats.org/officeDocument/2006/relationships/oleObject" Target="../embeddings/oleObject12.bin"/><Relationship Id="rId4" Type="http://schemas.openxmlformats.org/officeDocument/2006/relationships/oleObject" Target="../embeddings/oleObject9.bin"/><Relationship Id="rId9" Type="http://schemas.openxmlformats.org/officeDocument/2006/relationships/image" Target="../media/image14.wmf"/></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oleObject" Target="../embeddings/oleObject15.bin"/><Relationship Id="rId3" Type="http://schemas.openxmlformats.org/officeDocument/2006/relationships/vmlDrawing" Target="../drawings/vmlDrawing7.vml"/><Relationship Id="rId7" Type="http://schemas.openxmlformats.org/officeDocument/2006/relationships/image" Target="../media/image17.wmf"/><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oleObject" Target="../embeddings/oleObject14.bin"/><Relationship Id="rId5" Type="http://schemas.openxmlformats.org/officeDocument/2006/relationships/image" Target="../media/image16.wmf"/><Relationship Id="rId4" Type="http://schemas.openxmlformats.org/officeDocument/2006/relationships/oleObject" Target="../embeddings/oleObject13.bin"/><Relationship Id="rId9" Type="http://schemas.openxmlformats.org/officeDocument/2006/relationships/image" Target="../media/image18.w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2.vml"/><Relationship Id="rId7" Type="http://schemas.openxmlformats.org/officeDocument/2006/relationships/image" Target="../media/image3.w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2.wmf"/><Relationship Id="rId4" Type="http://schemas.openxmlformats.org/officeDocument/2006/relationships/oleObject" Target="../embeddings/oleObject2.bin"/><Relationship Id="rId9" Type="http://schemas.openxmlformats.org/officeDocument/2006/relationships/image" Target="../media/image4.w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7.wmf"/><Relationship Id="rId4" Type="http://schemas.openxmlformats.org/officeDocument/2006/relationships/oleObject" Target="../embeddings/oleObject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9.wmf"/><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oleObject" Target="../embeddings/oleObject7.bin"/><Relationship Id="rId5" Type="http://schemas.openxmlformats.org/officeDocument/2006/relationships/image" Target="../media/image8.w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7"/>
  <sheetViews>
    <sheetView zoomScaleNormal="100" workbookViewId="0">
      <selection activeCell="B16" sqref="B16"/>
    </sheetView>
  </sheetViews>
  <sheetFormatPr defaultRowHeight="14.5" x14ac:dyDescent="0.35"/>
  <cols>
    <col min="1" max="1" width="3.54296875" customWidth="1"/>
    <col min="2" max="2" width="78.1796875" customWidth="1"/>
    <col min="3" max="3" width="3.7265625" customWidth="1"/>
  </cols>
  <sheetData>
    <row r="1" spans="2:2" ht="8.15" customHeight="1" x14ac:dyDescent="0.35"/>
    <row r="2" spans="2:2" ht="21" x14ac:dyDescent="0.5">
      <c r="B2" s="48" t="s">
        <v>0</v>
      </c>
    </row>
    <row r="4" spans="2:2" ht="43.5" x14ac:dyDescent="0.35">
      <c r="B4" s="40" t="s">
        <v>1</v>
      </c>
    </row>
    <row r="5" spans="2:2" x14ac:dyDescent="0.35">
      <c r="B5" s="40"/>
    </row>
    <row r="6" spans="2:2" ht="43.5" x14ac:dyDescent="0.35">
      <c r="B6" s="40" t="s">
        <v>2</v>
      </c>
    </row>
    <row r="7" spans="2:2" x14ac:dyDescent="0.35">
      <c r="B7" s="40"/>
    </row>
    <row r="8" spans="2:2" x14ac:dyDescent="0.35">
      <c r="B8" s="40" t="s">
        <v>3</v>
      </c>
    </row>
    <row r="9" spans="2:2" x14ac:dyDescent="0.35">
      <c r="B9" s="40"/>
    </row>
    <row r="10" spans="2:2" x14ac:dyDescent="0.35">
      <c r="B10" s="49" t="s">
        <v>4</v>
      </c>
    </row>
    <row r="11" spans="2:2" x14ac:dyDescent="0.35">
      <c r="B11" s="40"/>
    </row>
    <row r="12" spans="2:2" x14ac:dyDescent="0.35">
      <c r="B12" s="50" t="s">
        <v>5</v>
      </c>
    </row>
    <row r="13" spans="2:2" x14ac:dyDescent="0.35">
      <c r="B13" s="40"/>
    </row>
    <row r="14" spans="2:2" ht="29" x14ac:dyDescent="0.35">
      <c r="B14" s="52" t="s">
        <v>6</v>
      </c>
    </row>
    <row r="16" spans="2:2" ht="29" x14ac:dyDescent="0.35">
      <c r="B16" s="40" t="s">
        <v>7</v>
      </c>
    </row>
    <row r="17" spans="2:2" x14ac:dyDescent="0.35">
      <c r="B17" s="40"/>
    </row>
    <row r="19" spans="2:2" x14ac:dyDescent="0.35">
      <c r="B19" s="54" t="s">
        <v>8</v>
      </c>
    </row>
    <row r="21" spans="2:2" x14ac:dyDescent="0.35">
      <c r="B21" t="s">
        <v>9</v>
      </c>
    </row>
    <row r="22" spans="2:2" x14ac:dyDescent="0.35">
      <c r="B22" t="s">
        <v>10</v>
      </c>
    </row>
    <row r="23" spans="2:2" x14ac:dyDescent="0.35">
      <c r="B23" t="s">
        <v>11</v>
      </c>
    </row>
    <row r="24" spans="2:2" x14ac:dyDescent="0.35">
      <c r="B24" t="s">
        <v>12</v>
      </c>
    </row>
    <row r="25" spans="2:2" x14ac:dyDescent="0.35">
      <c r="B25" t="s">
        <v>13</v>
      </c>
    </row>
    <row r="26" spans="2:2" x14ac:dyDescent="0.35">
      <c r="B26" s="53" t="s">
        <v>14</v>
      </c>
    </row>
    <row r="27" spans="2:2" x14ac:dyDescent="0.35">
      <c r="B27" s="53" t="s">
        <v>15</v>
      </c>
    </row>
  </sheetData>
  <hyperlinks>
    <hyperlink ref="B26" r:id="rId1" display="about:blankwww.vonsild-consulting.com"/>
    <hyperlink ref="B27" r:id="rId2" display="mailto:vonsild@vonsild-consulting.com"/>
  </hyperlinks>
  <pageMargins left="0.7" right="0.7" top="0.75" bottom="0.75" header="0.3" footer="0.3"/>
  <pageSetup paperSize="9" orientation="portrait" horizontalDpi="4294967292" verticalDpi="1200"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9"/>
  <sheetViews>
    <sheetView zoomScaleNormal="100" zoomScaleSheetLayoutView="100" workbookViewId="0">
      <selection activeCell="D12" sqref="D12"/>
    </sheetView>
  </sheetViews>
  <sheetFormatPr defaultRowHeight="14.5" x14ac:dyDescent="0.35"/>
  <cols>
    <col min="2" max="2" width="51.54296875" customWidth="1"/>
    <col min="5" max="5" width="8.26953125" customWidth="1"/>
  </cols>
  <sheetData>
    <row r="1" spans="1:5" x14ac:dyDescent="0.35">
      <c r="A1" s="6" t="s">
        <v>180</v>
      </c>
      <c r="B1" s="17" t="s">
        <v>181</v>
      </c>
    </row>
    <row r="2" spans="1:5" ht="30" customHeight="1" x14ac:dyDescent="0.35">
      <c r="A2" s="6" t="s">
        <v>194</v>
      </c>
      <c r="B2" s="64" t="s">
        <v>195</v>
      </c>
      <c r="C2" s="64"/>
      <c r="D2" s="64"/>
    </row>
    <row r="4" spans="1:5" ht="30" customHeight="1" x14ac:dyDescent="0.35">
      <c r="A4" s="60" t="s">
        <v>196</v>
      </c>
      <c r="B4" s="60"/>
      <c r="C4" s="60"/>
      <c r="D4" s="60"/>
      <c r="E4" s="10"/>
    </row>
    <row r="5" spans="1:5" x14ac:dyDescent="0.35">
      <c r="B5" s="1"/>
      <c r="C5" s="4"/>
      <c r="D5" s="11"/>
    </row>
    <row r="6" spans="1:5" ht="17.25" customHeight="1" x14ac:dyDescent="0.35"/>
    <row r="7" spans="1:5" ht="17.25" customHeight="1" x14ac:dyDescent="0.35">
      <c r="B7" s="13"/>
      <c r="C7" s="4" t="s">
        <v>197</v>
      </c>
      <c r="D7" s="9">
        <f>(D14-D12)*2*60/(4*D18)</f>
        <v>1270.3583061889251</v>
      </c>
      <c r="E7" t="s">
        <v>107</v>
      </c>
    </row>
    <row r="8" spans="1:5" ht="17.25" customHeight="1" x14ac:dyDescent="0.35">
      <c r="C8" s="21"/>
      <c r="D8" s="11"/>
    </row>
    <row r="9" spans="1:5" ht="17.25" customHeight="1" x14ac:dyDescent="0.35">
      <c r="B9" s="2"/>
      <c r="C9" s="3"/>
      <c r="D9" s="11"/>
    </row>
    <row r="10" spans="1:5" x14ac:dyDescent="0.35">
      <c r="A10" t="s">
        <v>26</v>
      </c>
    </row>
    <row r="11" spans="1:5" ht="15" x14ac:dyDescent="0.35">
      <c r="A11" s="2" t="s">
        <v>198</v>
      </c>
      <c r="B11" s="3" t="s">
        <v>199</v>
      </c>
      <c r="C11" s="3"/>
    </row>
    <row r="12" spans="1:5" ht="39" x14ac:dyDescent="0.45">
      <c r="A12" s="30" t="s">
        <v>45</v>
      </c>
      <c r="B12" s="3" t="s">
        <v>200</v>
      </c>
      <c r="D12" s="8">
        <v>12</v>
      </c>
      <c r="E12" t="s">
        <v>21</v>
      </c>
    </row>
    <row r="13" spans="1:5" ht="15.5" x14ac:dyDescent="0.35">
      <c r="A13" s="2"/>
      <c r="B13" s="3" t="s">
        <v>201</v>
      </c>
      <c r="D13">
        <f>D18*52</f>
        <v>15.964</v>
      </c>
      <c r="E13" t="s">
        <v>21</v>
      </c>
    </row>
    <row r="14" spans="1:5" ht="26" x14ac:dyDescent="0.45">
      <c r="A14" s="30" t="s">
        <v>43</v>
      </c>
      <c r="B14" s="3" t="s">
        <v>202</v>
      </c>
      <c r="C14" s="3"/>
      <c r="D14" s="8">
        <v>25</v>
      </c>
      <c r="E14" t="s">
        <v>21</v>
      </c>
    </row>
    <row r="15" spans="1:5" x14ac:dyDescent="0.35">
      <c r="A15" s="3">
        <v>4</v>
      </c>
      <c r="B15" s="3" t="s">
        <v>203</v>
      </c>
      <c r="D15" s="11"/>
    </row>
    <row r="16" spans="1:5" x14ac:dyDescent="0.35">
      <c r="A16" s="3">
        <v>2</v>
      </c>
      <c r="B16" s="3" t="s">
        <v>204</v>
      </c>
      <c r="D16" s="11"/>
    </row>
    <row r="17" spans="1:5" x14ac:dyDescent="0.35">
      <c r="A17" s="3">
        <v>60</v>
      </c>
      <c r="B17" s="3" t="s">
        <v>205</v>
      </c>
    </row>
    <row r="18" spans="1:5" ht="16.5" x14ac:dyDescent="0.35">
      <c r="A18" s="2" t="s">
        <v>190</v>
      </c>
      <c r="B18" s="3" t="s">
        <v>103</v>
      </c>
      <c r="D18" s="8">
        <v>0.307</v>
      </c>
      <c r="E18" t="s">
        <v>104</v>
      </c>
    </row>
    <row r="20" spans="1:5" ht="45" customHeight="1" x14ac:dyDescent="0.35">
      <c r="A20" s="65" t="s">
        <v>206</v>
      </c>
      <c r="B20" s="65"/>
      <c r="C20" s="65"/>
      <c r="D20" s="65"/>
    </row>
    <row r="22" spans="1:5" ht="17.5" x14ac:dyDescent="0.45">
      <c r="B22" s="30" t="s">
        <v>207</v>
      </c>
      <c r="C22" s="3" t="s">
        <v>208</v>
      </c>
      <c r="D22" s="9">
        <f>(D26-D27)/(0.25*D29*2.2)</f>
        <v>76.991412496298494</v>
      </c>
      <c r="E22" t="s">
        <v>209</v>
      </c>
    </row>
    <row r="24" spans="1:5" x14ac:dyDescent="0.35">
      <c r="A24" s="3" t="s">
        <v>26</v>
      </c>
    </row>
    <row r="25" spans="1:5" x14ac:dyDescent="0.35">
      <c r="A25" s="2" t="s">
        <v>151</v>
      </c>
      <c r="B25" s="3" t="s">
        <v>210</v>
      </c>
    </row>
    <row r="26" spans="1:5" ht="16.5" x14ac:dyDescent="0.45">
      <c r="A26" s="30" t="s">
        <v>43</v>
      </c>
      <c r="B26" s="3" t="s">
        <v>165</v>
      </c>
      <c r="D26">
        <f>D14</f>
        <v>25</v>
      </c>
      <c r="E26" t="s">
        <v>21</v>
      </c>
    </row>
    <row r="27" spans="1:5" ht="25.5" x14ac:dyDescent="0.45">
      <c r="A27" s="30" t="s">
        <v>45</v>
      </c>
      <c r="B27" s="3" t="s">
        <v>211</v>
      </c>
      <c r="D27">
        <f>D12</f>
        <v>12</v>
      </c>
      <c r="E27" t="s">
        <v>21</v>
      </c>
    </row>
    <row r="28" spans="1:5" x14ac:dyDescent="0.35">
      <c r="A28" s="16" t="s">
        <v>212</v>
      </c>
      <c r="B28" s="3" t="s">
        <v>213</v>
      </c>
      <c r="C28" s="3"/>
    </row>
    <row r="29" spans="1:5" ht="16.5" x14ac:dyDescent="0.35">
      <c r="A29" s="2" t="s">
        <v>190</v>
      </c>
      <c r="B29" s="3" t="s">
        <v>48</v>
      </c>
      <c r="D29">
        <f>D18</f>
        <v>0.307</v>
      </c>
      <c r="E29" t="s">
        <v>104</v>
      </c>
    </row>
  </sheetData>
  <mergeCells count="3">
    <mergeCell ref="B2:D2"/>
    <mergeCell ref="A4:D4"/>
    <mergeCell ref="A20:D2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DSMT4" shapeId="12290" r:id="rId4">
          <objectPr defaultSize="0" autoPict="0" r:id="rId5">
            <anchor moveWithCells="1" sizeWithCells="1">
              <from>
                <xdr:col>1</xdr:col>
                <xdr:colOff>133350</xdr:colOff>
                <xdr:row>5</xdr:row>
                <xdr:rowOff>146050</xdr:rowOff>
              </from>
              <to>
                <xdr:col>1</xdr:col>
                <xdr:colOff>1657350</xdr:colOff>
                <xdr:row>7</xdr:row>
                <xdr:rowOff>107950</xdr:rowOff>
              </to>
            </anchor>
          </objectPr>
        </oleObject>
      </mc:Choice>
      <mc:Fallback>
        <oleObject progId="Equation.DSMT4" shapeId="12290"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100" zoomScaleSheetLayoutView="100" workbookViewId="0">
      <selection activeCell="D10" sqref="D10"/>
    </sheetView>
  </sheetViews>
  <sheetFormatPr defaultRowHeight="14.5" x14ac:dyDescent="0.35"/>
  <cols>
    <col min="2" max="2" width="51.54296875" customWidth="1"/>
    <col min="5" max="5" width="8.26953125" customWidth="1"/>
  </cols>
  <sheetData>
    <row r="1" spans="1:5" ht="30.75" customHeight="1" x14ac:dyDescent="0.35">
      <c r="A1" s="6" t="s">
        <v>214</v>
      </c>
      <c r="B1" s="66" t="s">
        <v>215</v>
      </c>
      <c r="C1" s="66"/>
      <c r="D1" s="66"/>
    </row>
    <row r="2" spans="1:5" x14ac:dyDescent="0.35">
      <c r="A2" s="6" t="s">
        <v>216</v>
      </c>
      <c r="B2" s="23" t="s">
        <v>60</v>
      </c>
    </row>
    <row r="4" spans="1:5" x14ac:dyDescent="0.35">
      <c r="A4" s="58" t="s">
        <v>217</v>
      </c>
      <c r="B4" s="58"/>
      <c r="C4" s="58"/>
      <c r="D4" s="11"/>
    </row>
    <row r="5" spans="1:5" ht="17.25" customHeight="1" x14ac:dyDescent="0.35"/>
    <row r="6" spans="1:5" ht="17.25" customHeight="1" x14ac:dyDescent="0.45">
      <c r="B6" s="30" t="s">
        <v>218</v>
      </c>
      <c r="C6" s="4" t="s">
        <v>219</v>
      </c>
      <c r="D6" s="9">
        <f>60*D10/D11</f>
        <v>3908.7947882736157</v>
      </c>
      <c r="E6" t="s">
        <v>107</v>
      </c>
    </row>
    <row r="7" spans="1:5" ht="17.25" customHeight="1" x14ac:dyDescent="0.35">
      <c r="C7" s="21"/>
      <c r="D7" s="11"/>
    </row>
    <row r="8" spans="1:5" x14ac:dyDescent="0.35">
      <c r="A8" t="s">
        <v>26</v>
      </c>
    </row>
    <row r="9" spans="1:5" ht="25.5" x14ac:dyDescent="0.35">
      <c r="A9" s="2" t="s">
        <v>198</v>
      </c>
      <c r="B9" s="3" t="s">
        <v>220</v>
      </c>
      <c r="C9" s="3"/>
    </row>
    <row r="10" spans="1:5" ht="26" x14ac:dyDescent="0.45">
      <c r="A10" s="30" t="s">
        <v>43</v>
      </c>
      <c r="B10" s="3" t="s">
        <v>221</v>
      </c>
      <c r="D10" s="8">
        <v>20</v>
      </c>
      <c r="E10" t="s">
        <v>21</v>
      </c>
    </row>
    <row r="11" spans="1:5" ht="16.5" x14ac:dyDescent="0.35">
      <c r="A11" s="2" t="s">
        <v>47</v>
      </c>
      <c r="B11" s="3" t="s">
        <v>222</v>
      </c>
      <c r="D11" s="8">
        <v>0.307</v>
      </c>
      <c r="E11" t="s">
        <v>104</v>
      </c>
    </row>
    <row r="12" spans="1:5" x14ac:dyDescent="0.35">
      <c r="A12" s="3"/>
      <c r="B12" s="3"/>
      <c r="D12" s="11"/>
    </row>
    <row r="13" spans="1:5" ht="30" customHeight="1" x14ac:dyDescent="0.35">
      <c r="A13" s="60" t="s">
        <v>223</v>
      </c>
      <c r="B13" s="60"/>
      <c r="C13" s="60"/>
      <c r="D13" s="60"/>
    </row>
    <row r="15" spans="1:5" ht="16.5" x14ac:dyDescent="0.45">
      <c r="B15" s="30" t="s">
        <v>224</v>
      </c>
      <c r="C15" s="3" t="s">
        <v>225</v>
      </c>
      <c r="D15" s="9">
        <f>0.5*D28*2.2*D27</f>
        <v>16.885000000000002</v>
      </c>
      <c r="E15" t="s">
        <v>21</v>
      </c>
    </row>
    <row r="17" spans="1:5" ht="30" customHeight="1" x14ac:dyDescent="0.35">
      <c r="A17" s="63" t="s">
        <v>226</v>
      </c>
      <c r="B17" s="63"/>
      <c r="C17" s="63"/>
      <c r="D17" s="63"/>
    </row>
    <row r="19" spans="1:5" ht="17.5" x14ac:dyDescent="0.45">
      <c r="B19" s="30" t="s">
        <v>227</v>
      </c>
      <c r="C19" s="3" t="s">
        <v>228</v>
      </c>
      <c r="D19" s="9">
        <f>D24/(0.5*D28*2.2)</f>
        <v>59.224163458691145</v>
      </c>
      <c r="E19" t="s">
        <v>40</v>
      </c>
    </row>
    <row r="21" spans="1:5" x14ac:dyDescent="0.35">
      <c r="A21" t="s">
        <v>26</v>
      </c>
    </row>
    <row r="22" spans="1:5" x14ac:dyDescent="0.35">
      <c r="A22" s="2" t="s">
        <v>229</v>
      </c>
      <c r="B22" s="24" t="s">
        <v>230</v>
      </c>
    </row>
    <row r="23" spans="1:5" ht="25.5" x14ac:dyDescent="0.45">
      <c r="A23" s="30" t="s">
        <v>45</v>
      </c>
      <c r="B23" s="24" t="s">
        <v>231</v>
      </c>
    </row>
    <row r="24" spans="1:5" ht="16.5" x14ac:dyDescent="0.45">
      <c r="A24" s="30" t="s">
        <v>43</v>
      </c>
      <c r="B24" s="24" t="s">
        <v>232</v>
      </c>
      <c r="D24" s="11">
        <f>D10</f>
        <v>20</v>
      </c>
      <c r="E24" t="s">
        <v>21</v>
      </c>
    </row>
    <row r="25" spans="1:5" ht="25" x14ac:dyDescent="0.45">
      <c r="A25" s="30" t="s">
        <v>233</v>
      </c>
      <c r="B25" s="24" t="s">
        <v>234</v>
      </c>
    </row>
    <row r="26" spans="1:5" x14ac:dyDescent="0.35">
      <c r="A26" s="16" t="s">
        <v>235</v>
      </c>
      <c r="B26" s="24" t="s">
        <v>236</v>
      </c>
    </row>
    <row r="27" spans="1:5" ht="16.5" x14ac:dyDescent="0.35">
      <c r="A27" s="2" t="s">
        <v>237</v>
      </c>
      <c r="B27" s="24" t="s">
        <v>238</v>
      </c>
      <c r="D27" s="8">
        <v>50</v>
      </c>
      <c r="E27" t="s">
        <v>40</v>
      </c>
    </row>
    <row r="28" spans="1:5" ht="16.5" x14ac:dyDescent="0.35">
      <c r="A28" s="2" t="s">
        <v>239</v>
      </c>
      <c r="B28" s="24" t="s">
        <v>240</v>
      </c>
      <c r="D28">
        <f>D11</f>
        <v>0.307</v>
      </c>
      <c r="E28" t="s">
        <v>104</v>
      </c>
    </row>
    <row r="29" spans="1:5" x14ac:dyDescent="0.35">
      <c r="A29" s="2"/>
      <c r="B29" s="24"/>
    </row>
    <row r="30" spans="1:5" x14ac:dyDescent="0.35">
      <c r="A30" s="58" t="s">
        <v>241</v>
      </c>
      <c r="B30" s="58"/>
      <c r="C30" s="58"/>
      <c r="D30" s="58"/>
    </row>
  </sheetData>
  <mergeCells count="5">
    <mergeCell ref="A30:D30"/>
    <mergeCell ref="A17:D17"/>
    <mergeCell ref="B1:D1"/>
    <mergeCell ref="A4:C4"/>
    <mergeCell ref="A13:D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view="pageBreakPreview" zoomScaleNormal="100" zoomScaleSheetLayoutView="100" workbookViewId="0">
      <selection activeCell="D15" sqref="D15"/>
    </sheetView>
  </sheetViews>
  <sheetFormatPr defaultRowHeight="14.5" x14ac:dyDescent="0.35"/>
  <cols>
    <col min="2" max="2" width="51.54296875" customWidth="1"/>
    <col min="5" max="5" width="8.26953125" customWidth="1"/>
  </cols>
  <sheetData>
    <row r="1" spans="1:5" ht="30.75" customHeight="1" x14ac:dyDescent="0.35">
      <c r="A1" s="41" t="s">
        <v>242</v>
      </c>
      <c r="B1" s="67" t="s">
        <v>243</v>
      </c>
      <c r="C1" s="67"/>
      <c r="D1" s="67"/>
    </row>
    <row r="4" spans="1:5" x14ac:dyDescent="0.35">
      <c r="A4" s="6" t="s">
        <v>244</v>
      </c>
      <c r="B4" s="23" t="s">
        <v>245</v>
      </c>
    </row>
    <row r="6" spans="1:5" ht="30" customHeight="1" x14ac:dyDescent="0.35">
      <c r="A6" s="60" t="s">
        <v>246</v>
      </c>
      <c r="B6" s="60"/>
      <c r="C6" s="60"/>
      <c r="D6" s="60"/>
    </row>
    <row r="7" spans="1:5" ht="17.25" customHeight="1" x14ac:dyDescent="0.35"/>
    <row r="8" spans="1:5" ht="17.25" customHeight="1" x14ac:dyDescent="0.45">
      <c r="B8" s="30" t="s">
        <v>247</v>
      </c>
      <c r="C8" s="3" t="s">
        <v>248</v>
      </c>
      <c r="D8" s="9">
        <f>0.5*D16*D17*D18</f>
        <v>6.14</v>
      </c>
      <c r="E8" t="s">
        <v>21</v>
      </c>
    </row>
    <row r="9" spans="1:5" ht="17.25" customHeight="1" x14ac:dyDescent="0.35">
      <c r="B9" s="2"/>
      <c r="C9" s="3"/>
    </row>
    <row r="10" spans="1:5" ht="17.25" customHeight="1" x14ac:dyDescent="0.45">
      <c r="B10" s="30" t="s">
        <v>249</v>
      </c>
      <c r="C10" s="3" t="s">
        <v>250</v>
      </c>
      <c r="D10" s="9">
        <f>D15/(0.5*D16*D17)</f>
        <v>26.058631921824105</v>
      </c>
      <c r="E10" t="s">
        <v>40</v>
      </c>
    </row>
    <row r="11" spans="1:5" ht="17.25" customHeight="1" x14ac:dyDescent="0.35">
      <c r="C11" s="21"/>
      <c r="D11" s="11"/>
    </row>
    <row r="12" spans="1:5" x14ac:dyDescent="0.35">
      <c r="A12" t="s">
        <v>26</v>
      </c>
    </row>
    <row r="13" spans="1:5" x14ac:dyDescent="0.35">
      <c r="A13" s="2" t="s">
        <v>229</v>
      </c>
      <c r="B13" s="24" t="s">
        <v>230</v>
      </c>
      <c r="C13" s="3"/>
    </row>
    <row r="14" spans="1:5" ht="16.5" x14ac:dyDescent="0.45">
      <c r="A14" s="30" t="s">
        <v>45</v>
      </c>
      <c r="B14" s="3" t="s">
        <v>251</v>
      </c>
    </row>
    <row r="15" spans="1:5" ht="25.5" x14ac:dyDescent="0.45">
      <c r="A15" s="30" t="s">
        <v>252</v>
      </c>
      <c r="B15" s="3" t="s">
        <v>253</v>
      </c>
      <c r="D15" s="8">
        <v>8</v>
      </c>
      <c r="E15" t="s">
        <v>21</v>
      </c>
    </row>
    <row r="16" spans="1:5" ht="16.5" x14ac:dyDescent="0.35">
      <c r="A16" s="2" t="s">
        <v>72</v>
      </c>
      <c r="B16" s="3" t="s">
        <v>178</v>
      </c>
      <c r="D16" s="8">
        <v>0.307</v>
      </c>
      <c r="E16" t="s">
        <v>104</v>
      </c>
    </row>
    <row r="17" spans="1:5" ht="16.5" x14ac:dyDescent="0.45">
      <c r="A17" s="30" t="s">
        <v>254</v>
      </c>
      <c r="B17" s="3" t="s">
        <v>255</v>
      </c>
      <c r="D17" s="8">
        <v>2</v>
      </c>
      <c r="E17" t="s">
        <v>79</v>
      </c>
    </row>
    <row r="18" spans="1:5" ht="16.5" x14ac:dyDescent="0.35">
      <c r="A18" s="2" t="s">
        <v>49</v>
      </c>
      <c r="B18" s="3" t="s">
        <v>256</v>
      </c>
      <c r="D18" s="8">
        <v>20</v>
      </c>
      <c r="E18" t="s">
        <v>40</v>
      </c>
    </row>
    <row r="19" spans="1:5" ht="16.5" x14ac:dyDescent="0.45">
      <c r="A19" s="30" t="s">
        <v>257</v>
      </c>
      <c r="B19" s="3" t="s">
        <v>258</v>
      </c>
    </row>
    <row r="21" spans="1:5" x14ac:dyDescent="0.35">
      <c r="A21" s="60" t="s">
        <v>259</v>
      </c>
      <c r="B21" s="60"/>
      <c r="C21" s="60"/>
      <c r="D21" s="60"/>
    </row>
    <row r="22" spans="1:5" ht="42" customHeight="1" x14ac:dyDescent="0.35">
      <c r="A22" s="68" t="s">
        <v>260</v>
      </c>
      <c r="B22" s="68"/>
      <c r="C22" s="68"/>
      <c r="D22" s="68"/>
    </row>
    <row r="23" spans="1:5" ht="30" customHeight="1" x14ac:dyDescent="0.35">
      <c r="A23" s="68" t="s">
        <v>261</v>
      </c>
      <c r="B23" s="68"/>
      <c r="C23" s="68"/>
      <c r="D23" s="68"/>
    </row>
    <row r="24" spans="1:5" x14ac:dyDescent="0.35">
      <c r="A24" s="58" t="s">
        <v>262</v>
      </c>
      <c r="B24" s="58"/>
      <c r="C24" s="58"/>
      <c r="D24" s="58"/>
    </row>
    <row r="27" spans="1:5" x14ac:dyDescent="0.35">
      <c r="A27" s="6" t="s">
        <v>263</v>
      </c>
      <c r="B27" s="23" t="s">
        <v>264</v>
      </c>
    </row>
    <row r="29" spans="1:5" ht="30" customHeight="1" x14ac:dyDescent="0.35">
      <c r="A29" s="60" t="s">
        <v>265</v>
      </c>
      <c r="B29" s="60"/>
      <c r="C29" s="60"/>
      <c r="D29" s="60"/>
    </row>
    <row r="31" spans="1:5" ht="16.5" x14ac:dyDescent="0.45">
      <c r="B31" s="30" t="s">
        <v>247</v>
      </c>
      <c r="C31" s="3" t="s">
        <v>266</v>
      </c>
      <c r="D31" s="9">
        <f>0.75*D39*D40*D41</f>
        <v>9.2100000000000009</v>
      </c>
      <c r="E31" t="s">
        <v>21</v>
      </c>
    </row>
    <row r="32" spans="1:5" x14ac:dyDescent="0.35">
      <c r="B32" s="2"/>
      <c r="C32" s="3"/>
    </row>
    <row r="33" spans="1:5" ht="17.5" x14ac:dyDescent="0.45">
      <c r="B33" s="30" t="s">
        <v>249</v>
      </c>
      <c r="C33" s="3" t="s">
        <v>267</v>
      </c>
      <c r="D33" s="9">
        <f>D38/(0.75*D39*D40)</f>
        <v>17.37242128121607</v>
      </c>
      <c r="E33" t="s">
        <v>40</v>
      </c>
    </row>
    <row r="34" spans="1:5" x14ac:dyDescent="0.35">
      <c r="C34" s="21"/>
      <c r="D34" s="11"/>
    </row>
    <row r="35" spans="1:5" x14ac:dyDescent="0.35">
      <c r="A35" t="s">
        <v>26</v>
      </c>
    </row>
    <row r="36" spans="1:5" x14ac:dyDescent="0.35">
      <c r="A36" s="2" t="s">
        <v>229</v>
      </c>
      <c r="B36" s="24" t="s">
        <v>268</v>
      </c>
      <c r="C36" s="3"/>
    </row>
    <row r="37" spans="1:5" ht="16.5" x14ac:dyDescent="0.45">
      <c r="A37" s="30" t="s">
        <v>45</v>
      </c>
      <c r="B37" s="3" t="s">
        <v>251</v>
      </c>
    </row>
    <row r="38" spans="1:5" ht="25.5" x14ac:dyDescent="0.45">
      <c r="A38" s="30" t="s">
        <v>252</v>
      </c>
      <c r="B38" s="3" t="s">
        <v>253</v>
      </c>
      <c r="D38" s="11">
        <f>D15</f>
        <v>8</v>
      </c>
      <c r="E38" t="s">
        <v>21</v>
      </c>
    </row>
    <row r="39" spans="1:5" ht="16.5" x14ac:dyDescent="0.35">
      <c r="A39" s="2" t="s">
        <v>72</v>
      </c>
      <c r="B39" s="3" t="s">
        <v>178</v>
      </c>
      <c r="D39" s="11">
        <f>D16</f>
        <v>0.307</v>
      </c>
      <c r="E39" t="s">
        <v>104</v>
      </c>
    </row>
    <row r="40" spans="1:5" ht="16.5" x14ac:dyDescent="0.45">
      <c r="A40" s="30" t="s">
        <v>254</v>
      </c>
      <c r="B40" s="3" t="s">
        <v>255</v>
      </c>
      <c r="D40" s="11">
        <f>D17</f>
        <v>2</v>
      </c>
      <c r="E40" t="s">
        <v>79</v>
      </c>
    </row>
    <row r="41" spans="1:5" ht="16.5" x14ac:dyDescent="0.35">
      <c r="A41" s="2" t="s">
        <v>49</v>
      </c>
      <c r="B41" s="3" t="s">
        <v>256</v>
      </c>
      <c r="D41" s="11">
        <f>D18</f>
        <v>20</v>
      </c>
      <c r="E41" t="s">
        <v>40</v>
      </c>
    </row>
    <row r="42" spans="1:5" ht="16.5" x14ac:dyDescent="0.45">
      <c r="A42" s="30" t="s">
        <v>257</v>
      </c>
      <c r="B42" s="3" t="s">
        <v>258</v>
      </c>
    </row>
    <row r="44" spans="1:5" ht="15" customHeight="1" x14ac:dyDescent="0.35">
      <c r="A44" s="60" t="s">
        <v>259</v>
      </c>
      <c r="B44" s="60"/>
      <c r="C44" s="60"/>
      <c r="D44" s="60"/>
    </row>
    <row r="45" spans="1:5" ht="40.5" customHeight="1" x14ac:dyDescent="0.35">
      <c r="A45" s="68" t="s">
        <v>260</v>
      </c>
      <c r="B45" s="68"/>
      <c r="C45" s="68"/>
      <c r="D45" s="68"/>
    </row>
    <row r="46" spans="1:5" ht="30" customHeight="1" x14ac:dyDescent="0.35">
      <c r="A46" s="68" t="s">
        <v>261</v>
      </c>
      <c r="B46" s="68"/>
      <c r="C46" s="68"/>
      <c r="D46" s="68"/>
    </row>
    <row r="47" spans="1:5" x14ac:dyDescent="0.35">
      <c r="A47" s="58" t="s">
        <v>262</v>
      </c>
      <c r="B47" s="58"/>
      <c r="C47" s="58"/>
      <c r="D47" s="58"/>
    </row>
    <row r="48" spans="1:5" x14ac:dyDescent="0.35">
      <c r="A48" s="55"/>
      <c r="B48" s="55"/>
      <c r="C48" s="55"/>
      <c r="D48" s="55"/>
    </row>
    <row r="49" spans="1:5" x14ac:dyDescent="0.35">
      <c r="B49" s="4"/>
    </row>
    <row r="50" spans="1:5" x14ac:dyDescent="0.35">
      <c r="A50" s="6" t="s">
        <v>269</v>
      </c>
      <c r="B50" s="6" t="s">
        <v>270</v>
      </c>
    </row>
    <row r="51" spans="1:5" x14ac:dyDescent="0.35">
      <c r="A51" s="6" t="s">
        <v>271</v>
      </c>
      <c r="B51" s="6" t="s">
        <v>60</v>
      </c>
    </row>
    <row r="53" spans="1:5" ht="30" customHeight="1" x14ac:dyDescent="0.35">
      <c r="A53" s="60" t="s">
        <v>272</v>
      </c>
      <c r="B53" s="60"/>
      <c r="C53" s="60"/>
      <c r="D53" s="60"/>
    </row>
    <row r="54" spans="1:5" x14ac:dyDescent="0.35">
      <c r="A54" s="68" t="s">
        <v>273</v>
      </c>
      <c r="B54" s="68"/>
      <c r="C54" s="68"/>
      <c r="D54" s="68"/>
    </row>
    <row r="55" spans="1:5" x14ac:dyDescent="0.35">
      <c r="A55" s="68" t="s">
        <v>274</v>
      </c>
      <c r="B55" s="68"/>
      <c r="C55" s="68"/>
      <c r="D55" s="68"/>
    </row>
    <row r="56" spans="1:5" x14ac:dyDescent="0.35">
      <c r="A56" s="68" t="s">
        <v>275</v>
      </c>
      <c r="B56" s="68"/>
      <c r="C56" s="68"/>
      <c r="D56" s="68"/>
    </row>
    <row r="57" spans="1:5" x14ac:dyDescent="0.35">
      <c r="A57" s="57"/>
      <c r="B57" s="57"/>
      <c r="C57" s="57"/>
      <c r="D57" s="57"/>
    </row>
    <row r="58" spans="1:5" ht="17.5" x14ac:dyDescent="0.45">
      <c r="B58" s="30" t="s">
        <v>276</v>
      </c>
      <c r="C58" s="3" t="s">
        <v>277</v>
      </c>
      <c r="D58" s="9">
        <f>(-4*10^-5*D62^2+0.0108*D62+1.42)/SIN(MAX(D63,15)/180*PI())</f>
        <v>3.7468800000000004</v>
      </c>
      <c r="E58" t="s">
        <v>114</v>
      </c>
    </row>
    <row r="60" spans="1:5" x14ac:dyDescent="0.35">
      <c r="A60" t="s">
        <v>26</v>
      </c>
    </row>
    <row r="61" spans="1:5" ht="16.5" x14ac:dyDescent="0.45">
      <c r="A61" s="30" t="s">
        <v>278</v>
      </c>
      <c r="B61" s="3" t="s">
        <v>279</v>
      </c>
    </row>
    <row r="62" spans="1:5" x14ac:dyDescent="0.35">
      <c r="A62" s="2" t="s">
        <v>153</v>
      </c>
      <c r="B62" s="3" t="s">
        <v>280</v>
      </c>
      <c r="D62" s="8">
        <v>52</v>
      </c>
      <c r="E62" t="s">
        <v>155</v>
      </c>
    </row>
    <row r="63" spans="1:5" ht="25" x14ac:dyDescent="0.35">
      <c r="A63" s="30" t="s">
        <v>281</v>
      </c>
      <c r="B63" s="3" t="s">
        <v>282</v>
      </c>
      <c r="D63" s="8">
        <v>30</v>
      </c>
      <c r="E63" s="27" t="s">
        <v>117</v>
      </c>
    </row>
    <row r="65" spans="1:2" x14ac:dyDescent="0.35">
      <c r="A65" s="6" t="s">
        <v>283</v>
      </c>
      <c r="B65" s="6"/>
    </row>
    <row r="67" spans="1:2" x14ac:dyDescent="0.35">
      <c r="A67" s="26"/>
      <c r="B67" s="28" t="str">
        <f>"GG.10.3.1: "&amp;IF(D15&lt;=D8,"Charge is according to limit A","Charge is not according to limit A")&amp;" (≤ 50%)"</f>
        <v>GG.10.3.1: Charge is not according to limit A (≤ 50%)</v>
      </c>
    </row>
    <row r="68" spans="1:2" x14ac:dyDescent="0.35">
      <c r="A68" s="26"/>
      <c r="B68" s="28" t="str">
        <f>"GG.10.3.2: "&amp;IF(D38&lt;=D31,"Charge is according to limit B","Charge is not according to limit B")&amp;" (≤ 75%)"</f>
        <v>GG.10.3.2: Charge is according to limit B (≤ 75%)</v>
      </c>
    </row>
  </sheetData>
  <mergeCells count="15">
    <mergeCell ref="A54:D54"/>
    <mergeCell ref="A55:D55"/>
    <mergeCell ref="A56:D56"/>
    <mergeCell ref="A44:D44"/>
    <mergeCell ref="A45:D45"/>
    <mergeCell ref="A46:D46"/>
    <mergeCell ref="B1:D1"/>
    <mergeCell ref="A24:D24"/>
    <mergeCell ref="A47:D47"/>
    <mergeCell ref="A53:D53"/>
    <mergeCell ref="A6:D6"/>
    <mergeCell ref="A21:D21"/>
    <mergeCell ref="A22:D22"/>
    <mergeCell ref="A23:D23"/>
    <mergeCell ref="A29:D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81"/>
  <sheetViews>
    <sheetView view="pageBreakPreview" zoomScaleNormal="100" zoomScaleSheetLayoutView="100" workbookViewId="0">
      <selection activeCell="D10" sqref="D10"/>
    </sheetView>
  </sheetViews>
  <sheetFormatPr defaultRowHeight="14.5" x14ac:dyDescent="0.35"/>
  <cols>
    <col min="2" max="2" width="51.54296875" customWidth="1"/>
    <col min="4" max="4" width="11.1796875" customWidth="1"/>
    <col min="5" max="5" width="8.26953125" customWidth="1"/>
  </cols>
  <sheetData>
    <row r="1" spans="1:5" ht="30.75" customHeight="1" x14ac:dyDescent="0.35">
      <c r="A1" s="6" t="s">
        <v>284</v>
      </c>
      <c r="B1" s="66" t="s">
        <v>285</v>
      </c>
      <c r="C1" s="66"/>
      <c r="D1" s="66"/>
    </row>
    <row r="2" spans="1:5" ht="30.75" customHeight="1" x14ac:dyDescent="0.35">
      <c r="A2" s="6" t="s">
        <v>286</v>
      </c>
      <c r="B2" s="6" t="s">
        <v>60</v>
      </c>
      <c r="C2" s="56"/>
      <c r="D2" s="56"/>
    </row>
    <row r="4" spans="1:5" ht="30" customHeight="1" x14ac:dyDescent="0.35">
      <c r="A4" s="60" t="s">
        <v>287</v>
      </c>
      <c r="B4" s="60"/>
      <c r="C4" s="60"/>
      <c r="D4" s="60"/>
    </row>
    <row r="6" spans="1:5" ht="17.5" x14ac:dyDescent="0.45">
      <c r="B6" s="30" t="s">
        <v>288</v>
      </c>
      <c r="C6" s="3" t="s">
        <v>289</v>
      </c>
      <c r="D6" s="9">
        <f>D10/(0.5*D11*D12)</f>
        <v>26.058631921824105</v>
      </c>
      <c r="E6" t="s">
        <v>40</v>
      </c>
    </row>
    <row r="7" spans="1:5" x14ac:dyDescent="0.35">
      <c r="A7" s="17"/>
      <c r="B7" s="17"/>
    </row>
    <row r="8" spans="1:5" x14ac:dyDescent="0.35">
      <c r="A8" t="s">
        <v>26</v>
      </c>
    </row>
    <row r="9" spans="1:5" x14ac:dyDescent="0.35">
      <c r="A9" s="2" t="s">
        <v>229</v>
      </c>
      <c r="B9" s="24" t="s">
        <v>230</v>
      </c>
      <c r="C9" s="3"/>
    </row>
    <row r="10" spans="1:5" ht="25.5" x14ac:dyDescent="0.45">
      <c r="A10" s="30" t="s">
        <v>43</v>
      </c>
      <c r="B10" s="3" t="s">
        <v>253</v>
      </c>
      <c r="D10" s="8">
        <v>8</v>
      </c>
      <c r="E10" t="s">
        <v>21</v>
      </c>
    </row>
    <row r="11" spans="1:5" ht="16.5" x14ac:dyDescent="0.35">
      <c r="A11" s="2" t="s">
        <v>72</v>
      </c>
      <c r="B11" s="3" t="s">
        <v>178</v>
      </c>
      <c r="D11" s="8">
        <v>0.307</v>
      </c>
      <c r="E11" t="s">
        <v>104</v>
      </c>
    </row>
    <row r="12" spans="1:5" ht="16.5" x14ac:dyDescent="0.45">
      <c r="A12" s="30" t="s">
        <v>254</v>
      </c>
      <c r="B12" s="4" t="s">
        <v>290</v>
      </c>
      <c r="D12" s="8">
        <v>2</v>
      </c>
      <c r="E12" t="s">
        <v>79</v>
      </c>
    </row>
    <row r="13" spans="1:5" ht="16.5" x14ac:dyDescent="0.45">
      <c r="A13" s="30" t="s">
        <v>257</v>
      </c>
      <c r="B13" s="3" t="s">
        <v>258</v>
      </c>
      <c r="D13" s="11"/>
    </row>
    <row r="15" spans="1:5" ht="15" customHeight="1" x14ac:dyDescent="0.35">
      <c r="A15" s="60" t="s">
        <v>259</v>
      </c>
      <c r="B15" s="60"/>
      <c r="C15" s="60"/>
      <c r="D15" s="60"/>
    </row>
    <row r="16" spans="1:5" ht="40.5" customHeight="1" x14ac:dyDescent="0.35">
      <c r="A16" s="68" t="s">
        <v>260</v>
      </c>
      <c r="B16" s="68"/>
      <c r="C16" s="68"/>
      <c r="D16" s="68"/>
    </row>
    <row r="17" spans="1:5" ht="30" customHeight="1" x14ac:dyDescent="0.35">
      <c r="A17" s="68" t="s">
        <v>261</v>
      </c>
      <c r="B17" s="68"/>
      <c r="C17" s="68"/>
      <c r="D17" s="68"/>
    </row>
    <row r="18" spans="1:5" x14ac:dyDescent="0.35">
      <c r="B18" s="4"/>
    </row>
    <row r="19" spans="1:5" x14ac:dyDescent="0.35">
      <c r="A19" s="6" t="s">
        <v>291</v>
      </c>
      <c r="B19" s="6" t="s">
        <v>292</v>
      </c>
    </row>
    <row r="21" spans="1:5" ht="15" customHeight="1" x14ac:dyDescent="0.45">
      <c r="A21" t="s">
        <v>293</v>
      </c>
      <c r="B21" s="12"/>
      <c r="C21" s="12"/>
      <c r="D21" s="12"/>
    </row>
    <row r="22" spans="1:5" ht="15" customHeight="1" x14ac:dyDescent="0.35">
      <c r="A22" s="4"/>
      <c r="B22" s="12"/>
      <c r="C22" s="12"/>
      <c r="D22" s="12"/>
    </row>
    <row r="23" spans="1:5" x14ac:dyDescent="0.35">
      <c r="A23" s="57"/>
      <c r="B23" s="57"/>
      <c r="C23" s="57"/>
      <c r="D23" s="57"/>
    </row>
    <row r="24" spans="1:5" ht="16.5" x14ac:dyDescent="0.35">
      <c r="C24" s="4" t="s">
        <v>294</v>
      </c>
      <c r="D24" s="9">
        <f>1/(720*D30)*SQRT(D29/(D30*(D29-29)))</f>
        <v>1.2277153735912288E-2</v>
      </c>
      <c r="E24" t="s">
        <v>40</v>
      </c>
    </row>
    <row r="25" spans="1:5" ht="16.5" x14ac:dyDescent="0.35">
      <c r="C25" s="29" t="s">
        <v>295</v>
      </c>
      <c r="D25" s="22">
        <f>D24*10000</f>
        <v>122.77153735912289</v>
      </c>
      <c r="E25" s="22" t="s">
        <v>296</v>
      </c>
    </row>
    <row r="27" spans="1:5" x14ac:dyDescent="0.35">
      <c r="A27" t="s">
        <v>26</v>
      </c>
    </row>
    <row r="28" spans="1:5" ht="16.5" x14ac:dyDescent="0.45">
      <c r="A28" s="30" t="s">
        <v>41</v>
      </c>
      <c r="B28" s="3" t="s">
        <v>297</v>
      </c>
    </row>
    <row r="29" spans="1:5" x14ac:dyDescent="0.35">
      <c r="A29" s="2" t="s">
        <v>51</v>
      </c>
      <c r="B29" s="3" t="s">
        <v>298</v>
      </c>
      <c r="D29" s="8">
        <v>52</v>
      </c>
      <c r="E29" t="s">
        <v>155</v>
      </c>
    </row>
    <row r="30" spans="1:5" ht="16.5" x14ac:dyDescent="0.35">
      <c r="A30" s="2" t="s">
        <v>47</v>
      </c>
      <c r="B30" s="3" t="s">
        <v>178</v>
      </c>
      <c r="D30">
        <f>D11</f>
        <v>0.307</v>
      </c>
      <c r="E30" t="s">
        <v>104</v>
      </c>
    </row>
    <row r="31" spans="1:5" ht="25" x14ac:dyDescent="0.35">
      <c r="A31" s="3">
        <v>720</v>
      </c>
      <c r="B31" s="3" t="s">
        <v>299</v>
      </c>
    </row>
    <row r="32" spans="1:5" x14ac:dyDescent="0.35">
      <c r="A32" s="3">
        <v>29</v>
      </c>
      <c r="B32" s="3" t="s">
        <v>300</v>
      </c>
    </row>
    <row r="33" spans="1:5" x14ac:dyDescent="0.35">
      <c r="A33" s="3"/>
      <c r="B33" s="3"/>
    </row>
    <row r="34" spans="1:5" ht="16.5" x14ac:dyDescent="0.45">
      <c r="A34" t="s">
        <v>301</v>
      </c>
      <c r="B34" s="3"/>
    </row>
    <row r="35" spans="1:5" x14ac:dyDescent="0.35">
      <c r="A35" s="3"/>
      <c r="B35" s="3"/>
    </row>
    <row r="36" spans="1:5" ht="16.5" x14ac:dyDescent="0.35">
      <c r="A36" s="3"/>
      <c r="C36" s="4" t="s">
        <v>302</v>
      </c>
      <c r="D36" s="9">
        <f>0.14*SQRT(D40*0.04/D41)</f>
        <v>0.14293343704924366</v>
      </c>
      <c r="E36" t="s">
        <v>40</v>
      </c>
    </row>
    <row r="37" spans="1:5" ht="16.5" x14ac:dyDescent="0.35">
      <c r="A37" s="3"/>
      <c r="B37" s="3"/>
      <c r="C37" s="29" t="s">
        <v>295</v>
      </c>
      <c r="D37" s="22">
        <f>D36*10000</f>
        <v>1429.3343704924366</v>
      </c>
      <c r="E37" s="22" t="s">
        <v>296</v>
      </c>
    </row>
    <row r="38" spans="1:5" x14ac:dyDescent="0.35">
      <c r="A38" s="3"/>
      <c r="B38" s="3"/>
    </row>
    <row r="39" spans="1:5" x14ac:dyDescent="0.35">
      <c r="A39" t="s">
        <v>26</v>
      </c>
      <c r="B39" s="3"/>
    </row>
    <row r="40" spans="1:5" ht="16.5" x14ac:dyDescent="0.45">
      <c r="A40" s="30" t="s">
        <v>43</v>
      </c>
      <c r="B40" s="4" t="s">
        <v>187</v>
      </c>
      <c r="D40" s="11">
        <f>D10</f>
        <v>8</v>
      </c>
      <c r="E40" t="s">
        <v>21</v>
      </c>
    </row>
    <row r="41" spans="1:5" ht="16.5" x14ac:dyDescent="0.35">
      <c r="A41" s="2" t="s">
        <v>72</v>
      </c>
      <c r="B41" s="3" t="s">
        <v>178</v>
      </c>
      <c r="D41" s="11">
        <f>D11</f>
        <v>0.307</v>
      </c>
      <c r="E41" t="s">
        <v>104</v>
      </c>
    </row>
    <row r="42" spans="1:5" ht="25" x14ac:dyDescent="0.35">
      <c r="A42" s="3">
        <v>0.14000000000000001</v>
      </c>
      <c r="B42" s="3" t="s">
        <v>192</v>
      </c>
    </row>
    <row r="43" spans="1:5" x14ac:dyDescent="0.35">
      <c r="A43" s="3">
        <v>0.04</v>
      </c>
      <c r="B43" s="3" t="s">
        <v>303</v>
      </c>
    </row>
    <row r="45" spans="1:5" x14ac:dyDescent="0.35">
      <c r="A45" s="6" t="s">
        <v>304</v>
      </c>
      <c r="B45" s="6" t="s">
        <v>305</v>
      </c>
    </row>
    <row r="46" spans="1:5" x14ac:dyDescent="0.35">
      <c r="A46" s="6" t="s">
        <v>306</v>
      </c>
      <c r="B46" s="17" t="s">
        <v>307</v>
      </c>
    </row>
    <row r="47" spans="1:5" ht="30" customHeight="1" x14ac:dyDescent="0.35">
      <c r="A47" s="60" t="s">
        <v>308</v>
      </c>
      <c r="B47" s="60"/>
      <c r="C47" s="60"/>
      <c r="D47" s="60"/>
    </row>
    <row r="48" spans="1:5" x14ac:dyDescent="0.35">
      <c r="C48" s="3"/>
    </row>
    <row r="49" spans="1:5" x14ac:dyDescent="0.35">
      <c r="C49" s="3"/>
    </row>
    <row r="50" spans="1:5" x14ac:dyDescent="0.35">
      <c r="C50" s="3" t="s">
        <v>309</v>
      </c>
      <c r="D50" s="9" t="b">
        <f>-10*D61/D63*LN(1-D63*0.25*D64/10)&gt;D60</f>
        <v>1</v>
      </c>
    </row>
    <row r="51" spans="1:5" x14ac:dyDescent="0.35">
      <c r="C51" s="3"/>
    </row>
    <row r="52" spans="1:5" ht="16.5" x14ac:dyDescent="0.45">
      <c r="B52" s="22" t="s">
        <v>310</v>
      </c>
      <c r="C52" s="42"/>
      <c r="D52" s="43">
        <f>-10*D61/D63*LN(1-D63*0.25*D64/10)</f>
        <v>10.00100874404081</v>
      </c>
      <c r="E52" s="22" t="s">
        <v>21</v>
      </c>
    </row>
    <row r="53" spans="1:5" ht="17.5" x14ac:dyDescent="0.45">
      <c r="B53" s="22" t="s">
        <v>311</v>
      </c>
      <c r="C53" s="42"/>
      <c r="D53" s="43">
        <f>IF(D80&lt;0,D71,D80)</f>
        <v>124.49587249231082</v>
      </c>
      <c r="E53" s="22" t="s">
        <v>107</v>
      </c>
    </row>
    <row r="54" spans="1:5" x14ac:dyDescent="0.35">
      <c r="A54" s="69" t="s">
        <v>312</v>
      </c>
      <c r="B54" s="69"/>
      <c r="C54" s="69"/>
      <c r="D54" s="69"/>
    </row>
    <row r="55" spans="1:5" x14ac:dyDescent="0.35">
      <c r="C55" s="3"/>
    </row>
    <row r="56" spans="1:5" ht="16.5" x14ac:dyDescent="0.35">
      <c r="C56" s="3" t="s">
        <v>313</v>
      </c>
      <c r="D56" s="9">
        <f>10/(0.25*D64)</f>
        <v>130.29315960912052</v>
      </c>
      <c r="E56" t="s">
        <v>107</v>
      </c>
    </row>
    <row r="59" spans="1:5" x14ac:dyDescent="0.35">
      <c r="A59" t="s">
        <v>26</v>
      </c>
    </row>
    <row r="60" spans="1:5" x14ac:dyDescent="0.35">
      <c r="A60" s="2" t="s">
        <v>314</v>
      </c>
      <c r="B60" s="3" t="s">
        <v>315</v>
      </c>
      <c r="D60">
        <v>10</v>
      </c>
      <c r="E60" t="s">
        <v>21</v>
      </c>
    </row>
    <row r="61" spans="1:5" ht="16.5" x14ac:dyDescent="0.35">
      <c r="A61" s="2" t="s">
        <v>316</v>
      </c>
      <c r="B61" s="3" t="s">
        <v>317</v>
      </c>
      <c r="D61" s="8">
        <v>40</v>
      </c>
      <c r="E61" t="s">
        <v>209</v>
      </c>
    </row>
    <row r="62" spans="1:5" x14ac:dyDescent="0.35">
      <c r="A62" s="3">
        <v>10</v>
      </c>
      <c r="B62" s="3" t="s">
        <v>318</v>
      </c>
    </row>
    <row r="63" spans="1:5" ht="16.5" x14ac:dyDescent="0.35">
      <c r="A63" s="2" t="s">
        <v>319</v>
      </c>
      <c r="B63" s="3" t="s">
        <v>320</v>
      </c>
      <c r="D63" s="8">
        <v>124.498</v>
      </c>
      <c r="E63" t="s">
        <v>107</v>
      </c>
    </row>
    <row r="64" spans="1:5" ht="16.5" x14ac:dyDescent="0.35">
      <c r="A64" s="2" t="s">
        <v>72</v>
      </c>
      <c r="B64" s="3" t="s">
        <v>103</v>
      </c>
      <c r="D64">
        <f>D11</f>
        <v>0.307</v>
      </c>
      <c r="E64" t="s">
        <v>104</v>
      </c>
    </row>
    <row r="66" spans="2:4" x14ac:dyDescent="0.35">
      <c r="B66" s="3"/>
    </row>
    <row r="67" spans="2:4" x14ac:dyDescent="0.35">
      <c r="B67" s="3"/>
    </row>
    <row r="68" spans="2:4" x14ac:dyDescent="0.35">
      <c r="B68" s="31" t="s">
        <v>321</v>
      </c>
      <c r="C68" s="32"/>
      <c r="D68" s="32">
        <f>D60/(10*D61)*40/D64</f>
        <v>3.2573289902280131</v>
      </c>
    </row>
    <row r="69" spans="2:4" x14ac:dyDescent="0.35">
      <c r="B69" s="31" t="s">
        <v>322</v>
      </c>
      <c r="C69" s="32"/>
      <c r="D69" s="32">
        <f>D68*EXP(-D68)</f>
        <v>0.12537808098642636</v>
      </c>
    </row>
    <row r="70" spans="2:4" x14ac:dyDescent="0.35">
      <c r="B70" s="31" t="s">
        <v>323</v>
      </c>
      <c r="C70" s="32"/>
      <c r="D70" s="32">
        <f>D69-D69^2+3/2*D69^3-8/3*D69^4+125/24*D69^5</f>
        <v>0.11211717951816536</v>
      </c>
    </row>
    <row r="71" spans="2:4" x14ac:dyDescent="0.35">
      <c r="B71" s="31" t="s">
        <v>324</v>
      </c>
      <c r="C71" s="32"/>
      <c r="D71" s="32">
        <f>D56-10*D61/D60*D70</f>
        <v>125.80847242839391</v>
      </c>
    </row>
    <row r="72" spans="2:4" x14ac:dyDescent="0.35">
      <c r="B72" s="31" t="s">
        <v>325</v>
      </c>
      <c r="C72" s="32"/>
      <c r="D72" s="32">
        <f>-10*D61/D71*LN(1-D71*0.25*D64/10)-D60</f>
        <v>0.71189618723094661</v>
      </c>
    </row>
    <row r="73" spans="2:4" x14ac:dyDescent="0.35">
      <c r="B73" s="31" t="s">
        <v>326</v>
      </c>
      <c r="C73" s="32"/>
      <c r="D73" s="32">
        <f>10*D61/D71^2*LN(1-D71*0.25*D64/10)-10*D61/(D71*(D71-1/(0.25*D64/10)))</f>
        <v>0.62380934623759332</v>
      </c>
    </row>
    <row r="74" spans="2:4" x14ac:dyDescent="0.35">
      <c r="B74" s="31" t="s">
        <v>327</v>
      </c>
      <c r="C74" s="32"/>
      <c r="D74" s="32">
        <f>D71-D72/D73</f>
        <v>124.66726447515526</v>
      </c>
    </row>
    <row r="75" spans="2:4" x14ac:dyDescent="0.35">
      <c r="B75" s="31" t="s">
        <v>325</v>
      </c>
      <c r="C75" s="32"/>
      <c r="D75" s="32">
        <f>-10*D61/D74*LN(1-D74*0.25*D64/10)-D60</f>
        <v>8.2540684216580118E-2</v>
      </c>
    </row>
    <row r="76" spans="2:4" x14ac:dyDescent="0.35">
      <c r="B76" s="31" t="s">
        <v>326</v>
      </c>
      <c r="C76" s="32"/>
      <c r="D76" s="32">
        <f>10*D61/D74^2*LN(1-D74*0.25*D64/10)-10*D61/(D74*(D74-1/(0.25*D64/10)))</f>
        <v>0.48944088267930008</v>
      </c>
    </row>
    <row r="77" spans="2:4" x14ac:dyDescent="0.35">
      <c r="B77" s="31" t="s">
        <v>328</v>
      </c>
      <c r="C77" s="32"/>
      <c r="D77" s="32">
        <f>D74-D75/D76</f>
        <v>124.49862166835757</v>
      </c>
    </row>
    <row r="78" spans="2:4" x14ac:dyDescent="0.35">
      <c r="B78" s="31" t="s">
        <v>325</v>
      </c>
      <c r="C78" s="32"/>
      <c r="D78" s="32">
        <f>-10*D61/D77*LN(1-D77*0.25*D64/10)-D60</f>
        <v>1.3034820907389388E-3</v>
      </c>
    </row>
    <row r="79" spans="2:4" x14ac:dyDescent="0.35">
      <c r="B79" s="31" t="s">
        <v>326</v>
      </c>
      <c r="C79" s="32"/>
      <c r="D79" s="32">
        <f>10*D61/D77^2*LN(1-D77*0.25*D64/10)-10*D61/(D77*(D77-1/(0.25*D64/10)))</f>
        <v>0.47413554773182365</v>
      </c>
    </row>
    <row r="80" spans="2:4" x14ac:dyDescent="0.35">
      <c r="B80" s="31" t="s">
        <v>329</v>
      </c>
      <c r="C80" s="32"/>
      <c r="D80" s="32">
        <f>D77-D78/D79</f>
        <v>124.49587249231082</v>
      </c>
    </row>
    <row r="81" spans="2:4" x14ac:dyDescent="0.35">
      <c r="B81" s="31" t="s">
        <v>330</v>
      </c>
      <c r="C81" s="32"/>
      <c r="D81" s="32">
        <f>-10*D61/D80*LN(1-D80*0.25*D64/10)-D60</f>
        <v>3.3271330401873911E-7</v>
      </c>
    </row>
  </sheetData>
  <mergeCells count="7">
    <mergeCell ref="B1:D1"/>
    <mergeCell ref="A4:D4"/>
    <mergeCell ref="A54:D54"/>
    <mergeCell ref="A15:D15"/>
    <mergeCell ref="A16:D16"/>
    <mergeCell ref="A17:D17"/>
    <mergeCell ref="A47:D47"/>
  </mergeCells>
  <pageMargins left="0.7" right="0.7" top="0.75" bottom="0.75" header="0.3" footer="0.3"/>
  <pageSetup paperSize="9" scale="98" orientation="portrait" r:id="rId1"/>
  <drawing r:id="rId2"/>
  <legacyDrawing r:id="rId3"/>
  <oleObjects>
    <mc:AlternateContent xmlns:mc="http://schemas.openxmlformats.org/markup-compatibility/2006">
      <mc:Choice Requires="x14">
        <oleObject progId="Equation.DSMT4" shapeId="15362" r:id="rId4">
          <objectPr defaultSize="0" autoPict="0" r:id="rId5">
            <anchor moveWithCells="1" sizeWithCells="1">
              <from>
                <xdr:col>1</xdr:col>
                <xdr:colOff>184150</xdr:colOff>
                <xdr:row>54</xdr:row>
                <xdr:rowOff>146050</xdr:rowOff>
              </from>
              <to>
                <xdr:col>1</xdr:col>
                <xdr:colOff>1212850</xdr:colOff>
                <xdr:row>56</xdr:row>
                <xdr:rowOff>114300</xdr:rowOff>
              </to>
            </anchor>
          </objectPr>
        </oleObject>
      </mc:Choice>
      <mc:Fallback>
        <oleObject progId="Equation.DSMT4" shapeId="15362" r:id="rId4"/>
      </mc:Fallback>
    </mc:AlternateContent>
    <mc:AlternateContent xmlns:mc="http://schemas.openxmlformats.org/markup-compatibility/2006">
      <mc:Choice Requires="x14">
        <oleObject progId="Equation.DSMT4" shapeId="15364" r:id="rId6">
          <objectPr defaultSize="0" autoPict="0" r:id="rId7">
            <anchor moveWithCells="1" sizeWithCells="1">
              <from>
                <xdr:col>1</xdr:col>
                <xdr:colOff>50800</xdr:colOff>
                <xdr:row>22</xdr:row>
                <xdr:rowOff>69850</xdr:rowOff>
              </from>
              <to>
                <xdr:col>1</xdr:col>
                <xdr:colOff>2609850</xdr:colOff>
                <xdr:row>24</xdr:row>
                <xdr:rowOff>127000</xdr:rowOff>
              </to>
            </anchor>
          </objectPr>
        </oleObject>
      </mc:Choice>
      <mc:Fallback>
        <oleObject progId="Equation.DSMT4" shapeId="15364" r:id="rId6"/>
      </mc:Fallback>
    </mc:AlternateContent>
    <mc:AlternateContent xmlns:mc="http://schemas.openxmlformats.org/markup-compatibility/2006">
      <mc:Choice Requires="x14">
        <oleObject progId="Equation.DSMT4" shapeId="15365" r:id="rId8">
          <objectPr defaultSize="0" autoPict="0" r:id="rId9">
            <anchor moveWithCells="1" sizeWithCells="1">
              <from>
                <xdr:col>1</xdr:col>
                <xdr:colOff>88900</xdr:colOff>
                <xdr:row>35</xdr:row>
                <xdr:rowOff>12700</xdr:rowOff>
              </from>
              <to>
                <xdr:col>1</xdr:col>
                <xdr:colOff>1898650</xdr:colOff>
                <xdr:row>37</xdr:row>
                <xdr:rowOff>38100</xdr:rowOff>
              </to>
            </anchor>
          </objectPr>
        </oleObject>
      </mc:Choice>
      <mc:Fallback>
        <oleObject progId="Equation.DSMT4" shapeId="15365" r:id="rId8"/>
      </mc:Fallback>
    </mc:AlternateContent>
    <mc:AlternateContent xmlns:mc="http://schemas.openxmlformats.org/markup-compatibility/2006">
      <mc:Choice Requires="x14">
        <oleObject progId="Equation.DSMT4" shapeId="15366" r:id="rId10">
          <objectPr defaultSize="0" autoPict="0" r:id="rId11">
            <anchor moveWithCells="1" sizeWithCells="1">
              <from>
                <xdr:col>1</xdr:col>
                <xdr:colOff>38100</xdr:colOff>
                <xdr:row>48</xdr:row>
                <xdr:rowOff>50800</xdr:rowOff>
              </from>
              <to>
                <xdr:col>1</xdr:col>
                <xdr:colOff>2413000</xdr:colOff>
                <xdr:row>50</xdr:row>
                <xdr:rowOff>127000</xdr:rowOff>
              </to>
            </anchor>
          </objectPr>
        </oleObject>
      </mc:Choice>
      <mc:Fallback>
        <oleObject progId="Equation.DSMT4" shapeId="15366" r:id="rId10"/>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zoomScaleSheetLayoutView="100" workbookViewId="0">
      <selection activeCell="D12" sqref="D12"/>
    </sheetView>
  </sheetViews>
  <sheetFormatPr defaultRowHeight="14.5" x14ac:dyDescent="0.35"/>
  <cols>
    <col min="2" max="2" width="51.54296875" customWidth="1"/>
    <col min="5" max="5" width="8.26953125" customWidth="1"/>
  </cols>
  <sheetData>
    <row r="1" spans="1:5" ht="30.75" customHeight="1" x14ac:dyDescent="0.35">
      <c r="A1" s="6" t="s">
        <v>331</v>
      </c>
      <c r="B1" s="25" t="s">
        <v>332</v>
      </c>
      <c r="C1" s="25"/>
      <c r="D1" s="25"/>
    </row>
    <row r="3" spans="1:5" ht="52.5" customHeight="1" x14ac:dyDescent="0.35">
      <c r="A3" s="60" t="s">
        <v>333</v>
      </c>
      <c r="B3" s="60"/>
      <c r="C3" s="60"/>
      <c r="D3" s="60"/>
      <c r="E3" s="3"/>
    </row>
    <row r="4" spans="1:5" ht="17.25" customHeight="1" x14ac:dyDescent="0.35"/>
    <row r="5" spans="1:5" ht="17.25" customHeight="1" x14ac:dyDescent="0.45">
      <c r="B5" s="30" t="s">
        <v>334</v>
      </c>
      <c r="C5" s="4" t="s">
        <v>335</v>
      </c>
      <c r="D5" s="9">
        <f>0.75*D10*D11*D12</f>
        <v>9.2100000000000009</v>
      </c>
      <c r="E5" t="s">
        <v>21</v>
      </c>
    </row>
    <row r="6" spans="1:5" ht="17.25" customHeight="1" x14ac:dyDescent="0.35">
      <c r="C6" s="21"/>
      <c r="D6" s="11"/>
    </row>
    <row r="7" spans="1:5" x14ac:dyDescent="0.35">
      <c r="A7" t="s">
        <v>26</v>
      </c>
    </row>
    <row r="8" spans="1:5" x14ac:dyDescent="0.35">
      <c r="A8" s="2" t="s">
        <v>229</v>
      </c>
      <c r="B8" s="24" t="s">
        <v>336</v>
      </c>
      <c r="C8" s="3"/>
    </row>
    <row r="9" spans="1:5" x14ac:dyDescent="0.35">
      <c r="A9" s="2" t="s">
        <v>337</v>
      </c>
      <c r="B9" s="3" t="s">
        <v>338</v>
      </c>
    </row>
    <row r="10" spans="1:5" ht="16.5" x14ac:dyDescent="0.35">
      <c r="A10" s="2" t="s">
        <v>72</v>
      </c>
      <c r="B10" s="3" t="s">
        <v>178</v>
      </c>
      <c r="D10" s="8">
        <v>0.307</v>
      </c>
      <c r="E10" t="s">
        <v>104</v>
      </c>
    </row>
    <row r="11" spans="1:5" ht="25" x14ac:dyDescent="0.45">
      <c r="A11" s="30" t="s">
        <v>254</v>
      </c>
      <c r="B11" s="3" t="s">
        <v>339</v>
      </c>
      <c r="D11" s="8">
        <v>2</v>
      </c>
      <c r="E11" t="s">
        <v>79</v>
      </c>
    </row>
    <row r="12" spans="1:5" x14ac:dyDescent="0.35">
      <c r="A12" s="2" t="s">
        <v>49</v>
      </c>
      <c r="B12" s="3" t="s">
        <v>340</v>
      </c>
      <c r="D12" s="8">
        <v>20</v>
      </c>
      <c r="E12" s="3" t="s">
        <v>341</v>
      </c>
    </row>
    <row r="13" spans="1:5" x14ac:dyDescent="0.35">
      <c r="A13" s="2"/>
      <c r="B13" s="3"/>
    </row>
    <row r="14" spans="1:5" ht="30.75" customHeight="1" x14ac:dyDescent="0.35">
      <c r="A14" s="60" t="s">
        <v>342</v>
      </c>
      <c r="B14" s="60"/>
      <c r="C14" s="60"/>
      <c r="D14" s="60"/>
    </row>
    <row r="16" spans="1:5" ht="16.5" x14ac:dyDescent="0.45">
      <c r="B16" s="30" t="s">
        <v>334</v>
      </c>
      <c r="C16" s="3" t="s">
        <v>343</v>
      </c>
      <c r="D16" s="9">
        <f>0.5*D21*D22*D23</f>
        <v>6.14</v>
      </c>
      <c r="E16" t="s">
        <v>21</v>
      </c>
    </row>
    <row r="17" spans="1:5" x14ac:dyDescent="0.35">
      <c r="D17" s="11"/>
    </row>
    <row r="18" spans="1:5" x14ac:dyDescent="0.35">
      <c r="A18" t="s">
        <v>26</v>
      </c>
    </row>
    <row r="19" spans="1:5" x14ac:dyDescent="0.35">
      <c r="A19" s="2" t="s">
        <v>229</v>
      </c>
      <c r="B19" s="24" t="s">
        <v>344</v>
      </c>
    </row>
    <row r="20" spans="1:5" x14ac:dyDescent="0.35">
      <c r="A20" s="2" t="s">
        <v>337</v>
      </c>
      <c r="B20" s="3" t="s">
        <v>338</v>
      </c>
    </row>
    <row r="21" spans="1:5" ht="16.5" x14ac:dyDescent="0.35">
      <c r="A21" s="2" t="s">
        <v>72</v>
      </c>
      <c r="B21" s="3" t="s">
        <v>178</v>
      </c>
      <c r="D21" s="8">
        <v>0.307</v>
      </c>
      <c r="E21" t="s">
        <v>104</v>
      </c>
    </row>
    <row r="22" spans="1:5" ht="25" x14ac:dyDescent="0.45">
      <c r="A22" s="30" t="s">
        <v>254</v>
      </c>
      <c r="B22" s="3" t="s">
        <v>339</v>
      </c>
      <c r="D22" s="8">
        <v>2</v>
      </c>
      <c r="E22" t="s">
        <v>79</v>
      </c>
    </row>
    <row r="23" spans="1:5" x14ac:dyDescent="0.35">
      <c r="A23" s="2" t="s">
        <v>49</v>
      </c>
      <c r="B23" s="3" t="s">
        <v>340</v>
      </c>
      <c r="D23" s="8">
        <v>20</v>
      </c>
      <c r="E23" s="3" t="s">
        <v>341</v>
      </c>
    </row>
  </sheetData>
  <mergeCells count="2">
    <mergeCell ref="A14:D14"/>
    <mergeCell ref="A3:D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D14" sqref="D14"/>
    </sheetView>
  </sheetViews>
  <sheetFormatPr defaultRowHeight="14.5" x14ac:dyDescent="0.35"/>
  <cols>
    <col min="2" max="2" width="51.54296875" customWidth="1"/>
    <col min="5" max="5" width="8.26953125" customWidth="1"/>
  </cols>
  <sheetData>
    <row r="1" spans="1:5" ht="30.75" customHeight="1" x14ac:dyDescent="0.35">
      <c r="A1" s="6" t="s">
        <v>345</v>
      </c>
      <c r="B1" s="64" t="s">
        <v>346</v>
      </c>
      <c r="C1" s="64"/>
      <c r="D1" s="64"/>
    </row>
    <row r="2" spans="1:5" x14ac:dyDescent="0.35">
      <c r="A2" s="6" t="s">
        <v>347</v>
      </c>
      <c r="B2" s="17" t="s">
        <v>348</v>
      </c>
    </row>
    <row r="4" spans="1:5" ht="30" customHeight="1" x14ac:dyDescent="0.35">
      <c r="A4" s="60" t="s">
        <v>349</v>
      </c>
      <c r="B4" s="60"/>
      <c r="C4" s="60"/>
      <c r="E4" s="10"/>
    </row>
    <row r="5" spans="1:5" x14ac:dyDescent="0.35">
      <c r="B5" s="1"/>
      <c r="C5" s="4"/>
      <c r="D5" s="11"/>
    </row>
    <row r="6" spans="1:5" ht="17.25" customHeight="1" x14ac:dyDescent="0.45">
      <c r="B6" s="30" t="s">
        <v>350</v>
      </c>
      <c r="C6" s="4" t="s">
        <v>351</v>
      </c>
      <c r="D6" s="9">
        <f>MIN(0.35*D17*D16*D15,26*D17)</f>
        <v>0.95760000000000012</v>
      </c>
      <c r="E6" t="s">
        <v>21</v>
      </c>
    </row>
    <row r="7" spans="1:5" ht="17.25" customHeight="1" x14ac:dyDescent="0.35">
      <c r="B7" s="2"/>
      <c r="C7" s="3"/>
      <c r="D7" s="11"/>
    </row>
    <row r="8" spans="1:5" ht="23.25" customHeight="1" x14ac:dyDescent="0.35">
      <c r="A8" s="60" t="s">
        <v>352</v>
      </c>
      <c r="B8" s="60"/>
      <c r="C8" s="33"/>
      <c r="D8" s="11"/>
    </row>
    <row r="9" spans="1:5" ht="17.25" customHeight="1" x14ac:dyDescent="0.35">
      <c r="B9" s="2"/>
      <c r="C9" s="3"/>
      <c r="D9" s="11"/>
    </row>
    <row r="10" spans="1:5" ht="16.5" x14ac:dyDescent="0.45">
      <c r="B10" s="30" t="s">
        <v>353</v>
      </c>
      <c r="C10" s="4" t="s">
        <v>354</v>
      </c>
      <c r="D10" s="14">
        <f>D14/(0.35*D15*D17)</f>
        <v>20.885547201336674</v>
      </c>
      <c r="E10" s="3" t="s">
        <v>341</v>
      </c>
    </row>
    <row r="11" spans="1:5" x14ac:dyDescent="0.35">
      <c r="B11" s="2"/>
      <c r="C11" s="3"/>
      <c r="D11" s="11"/>
    </row>
    <row r="12" spans="1:5" x14ac:dyDescent="0.35">
      <c r="A12" t="s">
        <v>26</v>
      </c>
    </row>
    <row r="13" spans="1:5" x14ac:dyDescent="0.35">
      <c r="A13" s="44" t="s">
        <v>75</v>
      </c>
      <c r="B13" s="3" t="s">
        <v>355</v>
      </c>
      <c r="C13" s="3"/>
      <c r="D13" s="11"/>
    </row>
    <row r="14" spans="1:5" ht="16.5" x14ac:dyDescent="0.35">
      <c r="A14" s="38" t="s">
        <v>43</v>
      </c>
      <c r="B14" s="3" t="s">
        <v>99</v>
      </c>
      <c r="D14" s="8">
        <v>0.5</v>
      </c>
      <c r="E14" t="s">
        <v>21</v>
      </c>
    </row>
    <row r="15" spans="1:5" ht="50" x14ac:dyDescent="0.35">
      <c r="A15" s="38" t="s">
        <v>77</v>
      </c>
      <c r="B15" s="3" t="s">
        <v>356</v>
      </c>
      <c r="C15" s="3"/>
      <c r="D15" s="8">
        <v>1.8</v>
      </c>
      <c r="E15" s="11" t="s">
        <v>79</v>
      </c>
    </row>
    <row r="16" spans="1:5" x14ac:dyDescent="0.35">
      <c r="A16" s="2" t="s">
        <v>102</v>
      </c>
      <c r="B16" s="3" t="s">
        <v>50</v>
      </c>
      <c r="D16" s="8">
        <v>40</v>
      </c>
    </row>
    <row r="17" spans="1:5" ht="16.5" x14ac:dyDescent="0.35">
      <c r="A17" s="2" t="s">
        <v>47</v>
      </c>
      <c r="B17" s="3" t="s">
        <v>103</v>
      </c>
      <c r="D17" s="8">
        <v>3.7999999999999999E-2</v>
      </c>
      <c r="E17" t="s">
        <v>104</v>
      </c>
    </row>
  </sheetData>
  <mergeCells count="3">
    <mergeCell ref="A4:C4"/>
    <mergeCell ref="B1:D1"/>
    <mergeCell ref="A8:B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2"/>
  <sheetViews>
    <sheetView view="pageBreakPreview" zoomScaleNormal="100" zoomScaleSheetLayoutView="100" workbookViewId="0">
      <selection activeCell="D14" sqref="D14"/>
    </sheetView>
  </sheetViews>
  <sheetFormatPr defaultRowHeight="14.5" x14ac:dyDescent="0.35"/>
  <cols>
    <col min="2" max="2" width="51.54296875" customWidth="1"/>
    <col min="5" max="5" width="8.26953125" customWidth="1"/>
  </cols>
  <sheetData>
    <row r="1" spans="1:5" ht="30.75" customHeight="1" x14ac:dyDescent="0.35">
      <c r="A1" s="6" t="s">
        <v>345</v>
      </c>
      <c r="B1" s="64" t="s">
        <v>346</v>
      </c>
      <c r="C1" s="64"/>
      <c r="D1" s="64"/>
    </row>
    <row r="2" spans="1:5" x14ac:dyDescent="0.35">
      <c r="A2" s="6" t="s">
        <v>357</v>
      </c>
      <c r="B2" s="17" t="s">
        <v>358</v>
      </c>
    </row>
    <row r="4" spans="1:5" ht="30" customHeight="1" x14ac:dyDescent="0.35">
      <c r="A4" s="60" t="s">
        <v>359</v>
      </c>
      <c r="B4" s="60"/>
      <c r="C4" s="60"/>
      <c r="D4" s="60"/>
      <c r="E4" s="10"/>
    </row>
    <row r="5" spans="1:5" x14ac:dyDescent="0.35">
      <c r="B5" s="1"/>
      <c r="C5" s="4"/>
      <c r="D5" s="11"/>
    </row>
    <row r="6" spans="1:5" ht="17.25" customHeight="1" x14ac:dyDescent="0.45">
      <c r="B6" s="30" t="s">
        <v>121</v>
      </c>
      <c r="C6" s="3" t="s">
        <v>360</v>
      </c>
      <c r="D6" s="9">
        <f>MIN(D13*D17*D16*2.2,26*D17)</f>
        <v>0.45144000000000006</v>
      </c>
      <c r="E6" t="s">
        <v>21</v>
      </c>
    </row>
    <row r="7" spans="1:5" ht="17.25" customHeight="1" x14ac:dyDescent="0.35">
      <c r="B7" s="2"/>
      <c r="C7" s="3"/>
      <c r="D7" s="11"/>
    </row>
    <row r="8" spans="1:5" ht="23.25" customHeight="1" x14ac:dyDescent="0.35">
      <c r="A8" s="60" t="s">
        <v>361</v>
      </c>
      <c r="B8" s="60"/>
      <c r="C8" s="60"/>
      <c r="D8" s="60"/>
    </row>
    <row r="9" spans="1:5" ht="17.25" customHeight="1" x14ac:dyDescent="0.35">
      <c r="B9" s="2"/>
      <c r="C9" s="3"/>
      <c r="D9" s="11"/>
    </row>
    <row r="10" spans="1:5" ht="16.5" x14ac:dyDescent="0.45">
      <c r="B10" s="30" t="s">
        <v>362</v>
      </c>
      <c r="C10" s="3" t="s">
        <v>363</v>
      </c>
      <c r="D10" s="14">
        <f>D14/(D13*D17*2.2)</f>
        <v>10.765550239234448</v>
      </c>
      <c r="E10" s="3" t="s">
        <v>341</v>
      </c>
    </row>
    <row r="11" spans="1:5" x14ac:dyDescent="0.35">
      <c r="B11" s="2"/>
      <c r="C11" s="3"/>
      <c r="D11" s="11"/>
    </row>
    <row r="12" spans="1:5" x14ac:dyDescent="0.35">
      <c r="A12" t="s">
        <v>26</v>
      </c>
    </row>
    <row r="13" spans="1:5" ht="41.5" x14ac:dyDescent="0.35">
      <c r="A13" s="2" t="s">
        <v>75</v>
      </c>
      <c r="B13" s="33" t="s">
        <v>364</v>
      </c>
      <c r="C13" s="3"/>
      <c r="D13" s="8">
        <v>0.5</v>
      </c>
    </row>
    <row r="14" spans="1:5" x14ac:dyDescent="0.35">
      <c r="A14" s="2" t="s">
        <v>314</v>
      </c>
      <c r="B14" s="3" t="s">
        <v>99</v>
      </c>
      <c r="D14" s="8">
        <v>0.45</v>
      </c>
      <c r="E14" t="s">
        <v>21</v>
      </c>
    </row>
    <row r="15" spans="1:5" x14ac:dyDescent="0.35">
      <c r="A15" s="2">
        <v>2.2000000000000002</v>
      </c>
      <c r="B15" s="3" t="s">
        <v>127</v>
      </c>
      <c r="C15" s="3"/>
      <c r="D15" s="11"/>
      <c r="E15" s="11"/>
    </row>
    <row r="16" spans="1:5" x14ac:dyDescent="0.35">
      <c r="A16" s="2" t="s">
        <v>102</v>
      </c>
      <c r="B16" s="3" t="s">
        <v>50</v>
      </c>
      <c r="D16" s="8">
        <v>10.8</v>
      </c>
    </row>
    <row r="17" spans="1:5" ht="16.5" x14ac:dyDescent="0.35">
      <c r="A17" s="2" t="s">
        <v>47</v>
      </c>
      <c r="B17" s="3" t="s">
        <v>103</v>
      </c>
      <c r="D17" s="8">
        <v>3.7999999999999999E-2</v>
      </c>
      <c r="E17" t="s">
        <v>104</v>
      </c>
    </row>
    <row r="19" spans="1:5" x14ac:dyDescent="0.35">
      <c r="A19" s="60" t="s">
        <v>365</v>
      </c>
      <c r="B19" s="60"/>
      <c r="C19" s="60"/>
    </row>
    <row r="22" spans="1:5" ht="16.5" x14ac:dyDescent="0.35">
      <c r="C22" s="3" t="s">
        <v>366</v>
      </c>
      <c r="D22" s="14">
        <f>3600*5*D28*SQRT(D27)*D29^(3/4)/(D30^(1/4)*(D31*(1-D32))^(5/8))</f>
        <v>354.97602433549952</v>
      </c>
      <c r="E22" t="s">
        <v>107</v>
      </c>
    </row>
    <row r="23" spans="1:5" x14ac:dyDescent="0.35">
      <c r="C23" s="22" t="s">
        <v>132</v>
      </c>
      <c r="D23" s="22">
        <f>D22/3600/D27</f>
        <v>1.0956050133811712</v>
      </c>
      <c r="E23" s="22" t="s">
        <v>114</v>
      </c>
    </row>
    <row r="25" spans="1:5" x14ac:dyDescent="0.35">
      <c r="A25" t="s">
        <v>26</v>
      </c>
    </row>
    <row r="26" spans="1:5" x14ac:dyDescent="0.35">
      <c r="A26" s="15">
        <v>3600</v>
      </c>
      <c r="B26" s="3" t="s">
        <v>133</v>
      </c>
    </row>
    <row r="27" spans="1:5" ht="39.5" x14ac:dyDescent="0.35">
      <c r="A27" s="2" t="s">
        <v>367</v>
      </c>
      <c r="B27" s="3" t="s">
        <v>368</v>
      </c>
      <c r="C27" s="34"/>
      <c r="D27" s="45">
        <f>0.6*0.15</f>
        <v>0.09</v>
      </c>
      <c r="E27" s="3" t="s">
        <v>369</v>
      </c>
    </row>
    <row r="28" spans="1:5" ht="26" x14ac:dyDescent="0.35">
      <c r="A28" s="15" t="s">
        <v>140</v>
      </c>
      <c r="B28" s="3" t="s">
        <v>370</v>
      </c>
      <c r="D28" s="8">
        <v>1</v>
      </c>
    </row>
    <row r="29" spans="1:5" ht="25" x14ac:dyDescent="0.45">
      <c r="A29" s="30" t="s">
        <v>159</v>
      </c>
      <c r="B29" s="3" t="s">
        <v>371</v>
      </c>
      <c r="D29" s="8">
        <v>1.1199999999999999E-3</v>
      </c>
      <c r="E29" t="s">
        <v>164</v>
      </c>
    </row>
    <row r="30" spans="1:5" ht="50" x14ac:dyDescent="0.45">
      <c r="A30" s="30" t="s">
        <v>77</v>
      </c>
      <c r="B30" s="3" t="s">
        <v>356</v>
      </c>
      <c r="D30" s="8">
        <v>1.5</v>
      </c>
      <c r="E30" t="s">
        <v>79</v>
      </c>
    </row>
    <row r="31" spans="1:5" ht="15" x14ac:dyDescent="0.35">
      <c r="A31" s="2" t="s">
        <v>138</v>
      </c>
      <c r="B31" s="3" t="s">
        <v>372</v>
      </c>
      <c r="D31">
        <f>D17</f>
        <v>3.7999999999999999E-2</v>
      </c>
    </row>
    <row r="32" spans="1:5" ht="40.5" x14ac:dyDescent="0.35">
      <c r="A32" s="2" t="s">
        <v>75</v>
      </c>
      <c r="B32" s="3" t="s">
        <v>373</v>
      </c>
      <c r="D32">
        <f>D14/(D17*D16*2.2)</f>
        <v>0.49840510366826152</v>
      </c>
    </row>
    <row r="34" spans="1:5" ht="15.5" x14ac:dyDescent="0.35">
      <c r="A34" s="58" t="s">
        <v>374</v>
      </c>
      <c r="B34" s="58"/>
      <c r="C34" s="58"/>
      <c r="D34" s="58"/>
    </row>
    <row r="36" spans="1:5" ht="16.5" x14ac:dyDescent="0.35">
      <c r="B36" s="47" t="s">
        <v>375</v>
      </c>
      <c r="C36" s="3" t="s">
        <v>376</v>
      </c>
      <c r="D36" s="46">
        <f>167/432*D41*10^-6</f>
        <v>2.6626628091740391E-3</v>
      </c>
      <c r="E36" t="s">
        <v>164</v>
      </c>
    </row>
    <row r="37" spans="1:5" x14ac:dyDescent="0.35">
      <c r="B37" s="51" t="s">
        <v>377</v>
      </c>
      <c r="C37" s="22" t="s">
        <v>132</v>
      </c>
      <c r="D37" s="22">
        <f>D36*60000</f>
        <v>159.75976855044235</v>
      </c>
      <c r="E37" s="22" t="s">
        <v>378</v>
      </c>
    </row>
    <row r="38" spans="1:5" x14ac:dyDescent="0.35">
      <c r="A38" t="s">
        <v>26</v>
      </c>
      <c r="D38" s="22">
        <f>D36*3600</f>
        <v>9.5855861130265403</v>
      </c>
      <c r="E38" s="22" t="s">
        <v>379</v>
      </c>
    </row>
    <row r="39" spans="1:5" x14ac:dyDescent="0.35">
      <c r="A39" s="3">
        <v>167</v>
      </c>
      <c r="B39" s="3" t="s">
        <v>380</v>
      </c>
    </row>
    <row r="40" spans="1:5" x14ac:dyDescent="0.35">
      <c r="A40" s="3">
        <v>432</v>
      </c>
      <c r="B40" s="3" t="s">
        <v>381</v>
      </c>
    </row>
    <row r="41" spans="1:5" ht="15.5" x14ac:dyDescent="0.35">
      <c r="A41" s="16" t="s">
        <v>382</v>
      </c>
      <c r="B41" s="3" t="s">
        <v>383</v>
      </c>
      <c r="C41" s="15"/>
      <c r="D41">
        <f>D45</f>
        <v>6887.8463087615855</v>
      </c>
      <c r="E41" s="3" t="s">
        <v>384</v>
      </c>
    </row>
    <row r="43" spans="1:5" ht="15.5" x14ac:dyDescent="0.35">
      <c r="A43" s="58" t="s">
        <v>385</v>
      </c>
      <c r="B43" s="58"/>
      <c r="C43" s="58"/>
      <c r="D43" s="58"/>
    </row>
    <row r="45" spans="1:5" x14ac:dyDescent="0.35">
      <c r="C45" s="3" t="s">
        <v>386</v>
      </c>
      <c r="D45" s="14">
        <f>0.61*SQRT(D50*D51*D52*(2/(D50+1))^((D50+1)/(D50-1)))</f>
        <v>6887.8463087615855</v>
      </c>
      <c r="E45" s="3" t="s">
        <v>384</v>
      </c>
    </row>
    <row r="48" spans="1:5" x14ac:dyDescent="0.35">
      <c r="A48" t="s">
        <v>26</v>
      </c>
    </row>
    <row r="49" spans="1:5" x14ac:dyDescent="0.35">
      <c r="A49" s="3">
        <v>0.61</v>
      </c>
      <c r="B49" s="3" t="s">
        <v>387</v>
      </c>
    </row>
    <row r="50" spans="1:5" x14ac:dyDescent="0.35">
      <c r="A50" s="16" t="s">
        <v>388</v>
      </c>
      <c r="B50" s="3" t="s">
        <v>389</v>
      </c>
      <c r="D50" s="8">
        <v>2.0299999999999998</v>
      </c>
    </row>
    <row r="51" spans="1:5" ht="30" x14ac:dyDescent="0.35">
      <c r="A51" s="16" t="s">
        <v>390</v>
      </c>
      <c r="B51" s="3" t="s">
        <v>391</v>
      </c>
      <c r="D51" s="8">
        <v>80</v>
      </c>
      <c r="E51" s="3" t="s">
        <v>392</v>
      </c>
    </row>
    <row r="52" spans="1:5" ht="15.5" x14ac:dyDescent="0.35">
      <c r="A52" s="16" t="s">
        <v>393</v>
      </c>
      <c r="B52" s="3" t="s">
        <v>394</v>
      </c>
      <c r="C52" s="15"/>
      <c r="D52" s="8">
        <v>2664708</v>
      </c>
      <c r="E52" t="s">
        <v>395</v>
      </c>
    </row>
  </sheetData>
  <mergeCells count="6">
    <mergeCell ref="A34:D34"/>
    <mergeCell ref="A43:D43"/>
    <mergeCell ref="B1:D1"/>
    <mergeCell ref="A19:C19"/>
    <mergeCell ref="A8:D8"/>
    <mergeCell ref="A4:D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DSMT4" shapeId="23554" r:id="rId4">
          <objectPr defaultSize="0" autoPict="0" r:id="rId5">
            <anchor moveWithCells="1" sizeWithCells="1">
              <from>
                <xdr:col>1</xdr:col>
                <xdr:colOff>88900</xdr:colOff>
                <xdr:row>20</xdr:row>
                <xdr:rowOff>69850</xdr:rowOff>
              </from>
              <to>
                <xdr:col>1</xdr:col>
                <xdr:colOff>2374900</xdr:colOff>
                <xdr:row>23</xdr:row>
                <xdr:rowOff>19050</xdr:rowOff>
              </to>
            </anchor>
          </objectPr>
        </oleObject>
      </mc:Choice>
      <mc:Fallback>
        <oleObject progId="Equation.DSMT4" shapeId="23554" r:id="rId4"/>
      </mc:Fallback>
    </mc:AlternateContent>
    <mc:AlternateContent xmlns:mc="http://schemas.openxmlformats.org/markup-compatibility/2006">
      <mc:Choice Requires="x14">
        <oleObject progId="Equation.DSMT4" shapeId="23555" r:id="rId6">
          <objectPr defaultSize="0" autoPict="0" r:id="rId7">
            <anchor moveWithCells="1" sizeWithCells="1">
              <from>
                <xdr:col>1</xdr:col>
                <xdr:colOff>31750</xdr:colOff>
                <xdr:row>34</xdr:row>
                <xdr:rowOff>19050</xdr:rowOff>
              </from>
              <to>
                <xdr:col>1</xdr:col>
                <xdr:colOff>1219200</xdr:colOff>
                <xdr:row>36</xdr:row>
                <xdr:rowOff>95250</xdr:rowOff>
              </to>
            </anchor>
          </objectPr>
        </oleObject>
      </mc:Choice>
      <mc:Fallback>
        <oleObject progId="Equation.DSMT4" shapeId="23555" r:id="rId6"/>
      </mc:Fallback>
    </mc:AlternateContent>
    <mc:AlternateContent xmlns:mc="http://schemas.openxmlformats.org/markup-compatibility/2006">
      <mc:Choice Requires="x14">
        <oleObject progId="Equation.DSMT4" shapeId="23556" r:id="rId8">
          <objectPr defaultSize="0" autoPict="0" r:id="rId9">
            <anchor moveWithCells="1" sizeWithCells="1">
              <from>
                <xdr:col>1</xdr:col>
                <xdr:colOff>107950</xdr:colOff>
                <xdr:row>43</xdr:row>
                <xdr:rowOff>50800</xdr:rowOff>
              </from>
              <to>
                <xdr:col>1</xdr:col>
                <xdr:colOff>2019300</xdr:colOff>
                <xdr:row>46</xdr:row>
                <xdr:rowOff>31750</xdr:rowOff>
              </to>
            </anchor>
          </objectPr>
        </oleObject>
      </mc:Choice>
      <mc:Fallback>
        <oleObject progId="Equation.DSMT4" shapeId="23556"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Normal="100" zoomScaleSheetLayoutView="100" workbookViewId="0">
      <selection activeCell="D9" sqref="D9"/>
    </sheetView>
  </sheetViews>
  <sheetFormatPr defaultRowHeight="14.5" x14ac:dyDescent="0.35"/>
  <cols>
    <col min="2" max="2" width="51.54296875" customWidth="1"/>
    <col min="5" max="5" width="8.26953125" customWidth="1"/>
  </cols>
  <sheetData>
    <row r="1" spans="1:5" x14ac:dyDescent="0.35">
      <c r="A1" s="6" t="s">
        <v>16</v>
      </c>
      <c r="B1" s="7" t="s">
        <v>17</v>
      </c>
    </row>
    <row r="4" spans="1:5" ht="30" customHeight="1" x14ac:dyDescent="0.35">
      <c r="A4" s="58" t="s">
        <v>18</v>
      </c>
      <c r="B4" s="58"/>
      <c r="C4" s="5"/>
    </row>
    <row r="5" spans="1:5" x14ac:dyDescent="0.35">
      <c r="B5" s="2" t="s">
        <v>19</v>
      </c>
      <c r="C5" s="3" t="s">
        <v>20</v>
      </c>
      <c r="D5" s="9">
        <f>4*D9</f>
        <v>0.152</v>
      </c>
      <c r="E5" t="s">
        <v>21</v>
      </c>
    </row>
    <row r="6" spans="1:5" x14ac:dyDescent="0.35">
      <c r="B6" s="2" t="s">
        <v>22</v>
      </c>
      <c r="C6" s="3" t="s">
        <v>23</v>
      </c>
      <c r="D6" s="9">
        <f>26*D9</f>
        <v>0.98799999999999999</v>
      </c>
      <c r="E6" t="s">
        <v>21</v>
      </c>
    </row>
    <row r="7" spans="1:5" x14ac:dyDescent="0.35">
      <c r="B7" s="2" t="s">
        <v>24</v>
      </c>
      <c r="C7" s="3" t="s">
        <v>25</v>
      </c>
      <c r="D7" s="9">
        <f>130*D9</f>
        <v>4.9399999999999995</v>
      </c>
      <c r="E7" t="s">
        <v>21</v>
      </c>
    </row>
    <row r="8" spans="1:5" x14ac:dyDescent="0.35">
      <c r="A8" t="s">
        <v>26</v>
      </c>
    </row>
    <row r="9" spans="1:5" x14ac:dyDescent="0.35">
      <c r="A9" s="55" t="s">
        <v>27</v>
      </c>
      <c r="D9" s="8">
        <v>3.7999999999999999E-2</v>
      </c>
    </row>
    <row r="10" spans="1:5" x14ac:dyDescent="0.35">
      <c r="A10" s="3"/>
    </row>
    <row r="11" spans="1:5" ht="15.75" customHeight="1" x14ac:dyDescent="0.45">
      <c r="A11" s="35" t="s">
        <v>28</v>
      </c>
      <c r="B11" s="35"/>
      <c r="C11" s="37"/>
      <c r="D11" s="35"/>
    </row>
    <row r="12" spans="1:5" x14ac:dyDescent="0.35">
      <c r="B12" s="2" t="s">
        <v>29</v>
      </c>
      <c r="C12" s="3" t="s">
        <v>30</v>
      </c>
      <c r="D12" s="9">
        <f>6*D16</f>
        <v>1.8420000000000001</v>
      </c>
      <c r="E12" t="s">
        <v>21</v>
      </c>
    </row>
    <row r="13" spans="1:5" x14ac:dyDescent="0.35">
      <c r="B13" s="2" t="s">
        <v>31</v>
      </c>
      <c r="C13" s="3" t="s">
        <v>32</v>
      </c>
      <c r="D13" s="9">
        <f>52*D16</f>
        <v>15.964</v>
      </c>
      <c r="E13" t="s">
        <v>21</v>
      </c>
    </row>
    <row r="14" spans="1:5" x14ac:dyDescent="0.35">
      <c r="B14" s="2" t="s">
        <v>33</v>
      </c>
      <c r="C14" s="3" t="s">
        <v>34</v>
      </c>
      <c r="D14" s="9">
        <f>260*D16</f>
        <v>79.819999999999993</v>
      </c>
      <c r="E14" t="s">
        <v>21</v>
      </c>
    </row>
    <row r="15" spans="1:5" x14ac:dyDescent="0.35">
      <c r="A15" s="3" t="s">
        <v>26</v>
      </c>
    </row>
    <row r="16" spans="1:5" x14ac:dyDescent="0.35">
      <c r="A16" s="58" t="s">
        <v>35</v>
      </c>
      <c r="B16" s="58"/>
      <c r="C16" s="58"/>
      <c r="D16" s="8">
        <v>0.307</v>
      </c>
    </row>
  </sheetData>
  <mergeCells count="2">
    <mergeCell ref="A16:C16"/>
    <mergeCell ref="A4: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D10" sqref="D10"/>
    </sheetView>
  </sheetViews>
  <sheetFormatPr defaultRowHeight="14.5" x14ac:dyDescent="0.35"/>
  <cols>
    <col min="2" max="2" width="51.54296875" customWidth="1"/>
    <col min="5" max="5" width="8.26953125" customWidth="1"/>
  </cols>
  <sheetData>
    <row r="1" spans="1:5" x14ac:dyDescent="0.35">
      <c r="A1" s="6" t="s">
        <v>36</v>
      </c>
      <c r="B1" s="6" t="s">
        <v>37</v>
      </c>
    </row>
    <row r="4" spans="1:5" ht="30" customHeight="1" x14ac:dyDescent="0.35">
      <c r="A4" s="59" t="s">
        <v>38</v>
      </c>
      <c r="B4" s="59"/>
      <c r="C4" s="59"/>
      <c r="D4" s="59"/>
      <c r="E4" s="10"/>
    </row>
    <row r="5" spans="1:5" x14ac:dyDescent="0.35">
      <c r="C5" s="4"/>
      <c r="D5" s="11"/>
    </row>
    <row r="6" spans="1:5" ht="16.5" x14ac:dyDescent="0.35">
      <c r="B6" s="2"/>
      <c r="C6" s="4" t="s">
        <v>39</v>
      </c>
      <c r="D6" s="9">
        <f>(D10-D11)/(D12*104)*SQRT(D13/(9.81*D11)*D14/(D14-29))</f>
        <v>5.7702243620194021E-2</v>
      </c>
      <c r="E6" t="s">
        <v>40</v>
      </c>
    </row>
    <row r="7" spans="1:5" x14ac:dyDescent="0.35">
      <c r="B7" s="2"/>
      <c r="C7" s="3"/>
      <c r="D7" s="11"/>
    </row>
    <row r="8" spans="1:5" x14ac:dyDescent="0.35">
      <c r="A8" t="s">
        <v>26</v>
      </c>
    </row>
    <row r="9" spans="1:5" ht="16.5" x14ac:dyDescent="0.35">
      <c r="A9" s="38" t="s">
        <v>41</v>
      </c>
      <c r="B9" s="3" t="s">
        <v>42</v>
      </c>
    </row>
    <row r="10" spans="1:5" ht="25.5" x14ac:dyDescent="0.35">
      <c r="A10" s="38" t="s">
        <v>43</v>
      </c>
      <c r="B10" s="3" t="s">
        <v>44</v>
      </c>
      <c r="D10" s="8">
        <v>4</v>
      </c>
      <c r="E10" t="s">
        <v>21</v>
      </c>
    </row>
    <row r="11" spans="1:5" ht="41" x14ac:dyDescent="0.35">
      <c r="A11" s="38" t="s">
        <v>45</v>
      </c>
      <c r="B11" s="36" t="s">
        <v>46</v>
      </c>
      <c r="C11" s="3"/>
      <c r="D11" s="8">
        <v>2.2000000000000002</v>
      </c>
      <c r="E11" t="s">
        <v>21</v>
      </c>
    </row>
    <row r="12" spans="1:5" x14ac:dyDescent="0.35">
      <c r="A12" s="2" t="s">
        <v>47</v>
      </c>
      <c r="B12" s="3" t="s">
        <v>48</v>
      </c>
      <c r="C12" s="3"/>
      <c r="D12" s="8">
        <v>0.307</v>
      </c>
    </row>
    <row r="13" spans="1:5" x14ac:dyDescent="0.35">
      <c r="A13" s="2" t="s">
        <v>49</v>
      </c>
      <c r="B13" s="3" t="s">
        <v>50</v>
      </c>
      <c r="C13" s="3"/>
      <c r="D13" s="8">
        <v>10</v>
      </c>
    </row>
    <row r="14" spans="1:5" x14ac:dyDescent="0.35">
      <c r="A14" s="2" t="s">
        <v>51</v>
      </c>
      <c r="B14" s="3" t="s">
        <v>52</v>
      </c>
      <c r="D14" s="8">
        <v>52</v>
      </c>
    </row>
    <row r="15" spans="1:5" x14ac:dyDescent="0.35">
      <c r="A15" s="1" t="s">
        <v>53</v>
      </c>
      <c r="B15" s="4" t="s">
        <v>54</v>
      </c>
      <c r="D15" s="11"/>
    </row>
    <row r="16" spans="1:5" x14ac:dyDescent="0.35">
      <c r="A16" s="3">
        <v>29</v>
      </c>
      <c r="B16" s="3" t="s">
        <v>55</v>
      </c>
    </row>
    <row r="17" spans="1:3" x14ac:dyDescent="0.35">
      <c r="A17" s="3">
        <v>104</v>
      </c>
      <c r="B17" s="3" t="s">
        <v>56</v>
      </c>
      <c r="C17" s="3"/>
    </row>
    <row r="20" spans="1:3" x14ac:dyDescent="0.35">
      <c r="A20" s="2"/>
      <c r="B20" s="3"/>
    </row>
    <row r="21" spans="1:3" x14ac:dyDescent="0.35">
      <c r="A21" s="2"/>
      <c r="B21" s="3"/>
      <c r="C21" s="3"/>
    </row>
    <row r="22" spans="1:3" x14ac:dyDescent="0.35">
      <c r="A22" s="2"/>
      <c r="B22" s="3"/>
    </row>
    <row r="23" spans="1:3" x14ac:dyDescent="0.35">
      <c r="C23" s="3"/>
    </row>
    <row r="24" spans="1:3" x14ac:dyDescent="0.35">
      <c r="A24" s="2"/>
      <c r="C24" s="3"/>
    </row>
    <row r="25" spans="1:3" x14ac:dyDescent="0.35">
      <c r="A25" s="2"/>
      <c r="C25" s="3"/>
    </row>
    <row r="26" spans="1:3" x14ac:dyDescent="0.35">
      <c r="A26" s="2"/>
      <c r="C26" s="3"/>
    </row>
    <row r="27" spans="1:3" x14ac:dyDescent="0.35">
      <c r="A27" s="2"/>
      <c r="C27" s="3"/>
    </row>
    <row r="28" spans="1:3" x14ac:dyDescent="0.35">
      <c r="A28" s="3"/>
      <c r="C28" s="3"/>
    </row>
    <row r="29" spans="1:3" x14ac:dyDescent="0.35">
      <c r="A29" s="3"/>
      <c r="C29" s="3"/>
    </row>
  </sheetData>
  <mergeCells count="1">
    <mergeCell ref="A4:D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DSMT4" shapeId="2050" r:id="rId4">
          <objectPr defaultSize="0" autoPict="0" r:id="rId5">
            <anchor moveWithCells="1" sizeWithCells="1">
              <from>
                <xdr:col>1</xdr:col>
                <xdr:colOff>88900</xdr:colOff>
                <xdr:row>4</xdr:row>
                <xdr:rowOff>114300</xdr:rowOff>
              </from>
              <to>
                <xdr:col>1</xdr:col>
                <xdr:colOff>2647950</xdr:colOff>
                <xdr:row>6</xdr:row>
                <xdr:rowOff>165100</xdr:rowOff>
              </to>
            </anchor>
          </objectPr>
        </oleObject>
      </mc:Choice>
      <mc:Fallback>
        <oleObject progId="Equation.DSMT4" shapeId="2050"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100" zoomScaleSheetLayoutView="100" workbookViewId="0">
      <selection activeCell="D12" sqref="D12"/>
    </sheetView>
  </sheetViews>
  <sheetFormatPr defaultRowHeight="14.5" x14ac:dyDescent="0.35"/>
  <cols>
    <col min="2" max="2" width="51.54296875" customWidth="1"/>
    <col min="5" max="5" width="8.26953125" customWidth="1"/>
  </cols>
  <sheetData>
    <row r="1" spans="1:5" x14ac:dyDescent="0.35">
      <c r="A1" s="6" t="s">
        <v>57</v>
      </c>
      <c r="B1" s="6" t="s">
        <v>58</v>
      </c>
    </row>
    <row r="2" spans="1:5" x14ac:dyDescent="0.35">
      <c r="A2" s="6" t="s">
        <v>59</v>
      </c>
      <c r="B2" s="6" t="s">
        <v>60</v>
      </c>
    </row>
    <row r="4" spans="1:5" ht="30" customHeight="1" x14ac:dyDescent="0.35">
      <c r="A4" s="55" t="s">
        <v>61</v>
      </c>
      <c r="B4" s="12"/>
      <c r="C4" s="12"/>
      <c r="E4" s="10"/>
    </row>
    <row r="5" spans="1:5" ht="17.5" x14ac:dyDescent="0.45">
      <c r="B5" s="30" t="s">
        <v>62</v>
      </c>
      <c r="C5" s="4"/>
      <c r="D5" s="11"/>
    </row>
    <row r="6" spans="1:5" ht="17.25" customHeight="1" x14ac:dyDescent="0.35">
      <c r="B6" s="2" t="str">
        <f>"["&amp;2.5*D15^(1.25)*D17*SQRT(D13)&amp;", not to exceed "&amp;D16*D15*D17*D13&amp;"]"</f>
        <v>[0.384971592441586, not to exceed 0.8892]</v>
      </c>
      <c r="C6" s="4" t="s">
        <v>63</v>
      </c>
      <c r="D6" s="9">
        <f>MIN(2.5*D15^(1.25)*D17*SQRT(D13),D16*D15*D17*D13)</f>
        <v>0.38497159244158607</v>
      </c>
      <c r="E6" t="s">
        <v>21</v>
      </c>
    </row>
    <row r="7" spans="1:5" ht="32.25" customHeight="1" x14ac:dyDescent="0.35">
      <c r="A7" s="60" t="s">
        <v>64</v>
      </c>
      <c r="B7" s="60"/>
      <c r="C7" s="60"/>
      <c r="D7" s="60"/>
    </row>
    <row r="8" spans="1:5" ht="17.5" x14ac:dyDescent="0.45">
      <c r="B8" s="30" t="s">
        <v>65</v>
      </c>
      <c r="C8" s="4"/>
      <c r="D8" s="11"/>
    </row>
    <row r="9" spans="1:5" x14ac:dyDescent="0.35">
      <c r="B9" s="2" t="str">
        <f>"["&amp;(D12/(2.5*D15^1.25*D17))^2&amp;", not less than "&amp;D12/(D16*D15*D17)&amp;"]"</f>
        <v>[26.0038372897339, not less than 11.2573099415205]</v>
      </c>
      <c r="C9" s="4" t="s">
        <v>66</v>
      </c>
      <c r="D9" s="14">
        <f>MAX((D12/(2.5*D15^1.25*D17))^2,D12/(D16*D15*D17))</f>
        <v>26.003837289733923</v>
      </c>
      <c r="E9" t="s">
        <v>67</v>
      </c>
    </row>
    <row r="10" spans="1:5" x14ac:dyDescent="0.35">
      <c r="B10" s="2"/>
      <c r="C10" s="3"/>
      <c r="D10" s="11"/>
    </row>
    <row r="11" spans="1:5" x14ac:dyDescent="0.35">
      <c r="A11" t="s">
        <v>26</v>
      </c>
    </row>
    <row r="12" spans="1:5" ht="16.5" x14ac:dyDescent="0.35">
      <c r="A12" s="38" t="s">
        <v>43</v>
      </c>
      <c r="B12" s="3" t="s">
        <v>68</v>
      </c>
      <c r="D12" s="8">
        <v>0.38500000000000001</v>
      </c>
      <c r="E12" t="s">
        <v>21</v>
      </c>
    </row>
    <row r="13" spans="1:5" x14ac:dyDescent="0.35">
      <c r="A13" s="13" t="s">
        <v>69</v>
      </c>
      <c r="B13" s="4" t="s">
        <v>70</v>
      </c>
      <c r="C13" s="3"/>
      <c r="D13" s="8">
        <v>26</v>
      </c>
      <c r="E13" t="s">
        <v>67</v>
      </c>
    </row>
    <row r="14" spans="1:5" x14ac:dyDescent="0.35">
      <c r="A14" s="2">
        <v>2.5</v>
      </c>
      <c r="B14" s="15" t="s">
        <v>71</v>
      </c>
    </row>
    <row r="15" spans="1:5" x14ac:dyDescent="0.35">
      <c r="A15" s="2" t="s">
        <v>72</v>
      </c>
      <c r="B15" s="3" t="s">
        <v>73</v>
      </c>
      <c r="C15" s="3"/>
      <c r="D15" s="8">
        <v>3.7999999999999999E-2</v>
      </c>
      <c r="E15" t="s">
        <v>74</v>
      </c>
    </row>
    <row r="16" spans="1:5" ht="39" x14ac:dyDescent="0.35">
      <c r="A16" s="2" t="s">
        <v>75</v>
      </c>
      <c r="B16" s="3" t="s">
        <v>76</v>
      </c>
      <c r="D16" s="8">
        <v>0.5</v>
      </c>
    </row>
    <row r="17" spans="1:5" ht="37.5" x14ac:dyDescent="0.35">
      <c r="A17" s="38" t="s">
        <v>77</v>
      </c>
      <c r="B17" s="3" t="s">
        <v>78</v>
      </c>
      <c r="D17" s="9">
        <f>D19+D20</f>
        <v>1.8</v>
      </c>
      <c r="E17" t="s">
        <v>79</v>
      </c>
    </row>
    <row r="18" spans="1:5" ht="16.5" x14ac:dyDescent="0.45">
      <c r="A18" s="61" t="s">
        <v>80</v>
      </c>
      <c r="B18" s="61"/>
    </row>
    <row r="19" spans="1:5" ht="100.5" x14ac:dyDescent="0.35">
      <c r="A19" s="38" t="s">
        <v>81</v>
      </c>
      <c r="B19" s="3" t="s">
        <v>82</v>
      </c>
      <c r="D19" s="8">
        <v>0.1</v>
      </c>
      <c r="E19" t="s">
        <v>79</v>
      </c>
    </row>
    <row r="20" spans="1:5" ht="25.5" x14ac:dyDescent="0.35">
      <c r="A20" s="38" t="s">
        <v>83</v>
      </c>
      <c r="B20" s="3" t="s">
        <v>84</v>
      </c>
      <c r="D20" s="8">
        <v>1.7</v>
      </c>
      <c r="E20" t="s">
        <v>79</v>
      </c>
    </row>
    <row r="21" spans="1:5" x14ac:dyDescent="0.35">
      <c r="A21" s="58" t="s">
        <v>85</v>
      </c>
      <c r="B21" s="58"/>
    </row>
    <row r="22" spans="1:5" ht="16.5" x14ac:dyDescent="0.45">
      <c r="A22" s="30" t="s">
        <v>86</v>
      </c>
    </row>
    <row r="23" spans="1:5" ht="16.5" x14ac:dyDescent="0.45">
      <c r="A23" s="30" t="s">
        <v>87</v>
      </c>
    </row>
    <row r="24" spans="1:5" ht="16.5" x14ac:dyDescent="0.45">
      <c r="A24" s="30" t="s">
        <v>88</v>
      </c>
    </row>
    <row r="25" spans="1:5" ht="16.5" x14ac:dyDescent="0.45">
      <c r="A25" s="30" t="s">
        <v>89</v>
      </c>
    </row>
    <row r="30" spans="1:5" x14ac:dyDescent="0.35">
      <c r="A30" s="2"/>
      <c r="B30" s="15"/>
    </row>
  </sheetData>
  <mergeCells count="3">
    <mergeCell ref="A7:D7"/>
    <mergeCell ref="A18:B18"/>
    <mergeCell ref="A21:B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1"/>
  <sheetViews>
    <sheetView tabSelected="1" view="pageBreakPreview" topLeftCell="A22" zoomScaleNormal="100" zoomScaleSheetLayoutView="100" workbookViewId="0">
      <selection activeCell="D49" sqref="D49"/>
    </sheetView>
  </sheetViews>
  <sheetFormatPr defaultRowHeight="14.5" x14ac:dyDescent="0.35"/>
  <cols>
    <col min="2" max="2" width="51.54296875" customWidth="1"/>
    <col min="3" max="3" width="8.26953125" customWidth="1"/>
    <col min="4" max="4" width="11" bestFit="1" customWidth="1"/>
    <col min="5" max="5" width="8.26953125" customWidth="1"/>
    <col min="7" max="7" width="12" bestFit="1" customWidth="1"/>
  </cols>
  <sheetData>
    <row r="1" spans="1:5" x14ac:dyDescent="0.35">
      <c r="A1" s="6" t="s">
        <v>90</v>
      </c>
      <c r="B1" s="17" t="s">
        <v>91</v>
      </c>
    </row>
    <row r="2" spans="1:5" x14ac:dyDescent="0.35">
      <c r="A2" s="6"/>
      <c r="B2" s="6"/>
    </row>
    <row r="4" spans="1:5" ht="30" customHeight="1" x14ac:dyDescent="0.35">
      <c r="A4" s="55" t="s">
        <v>92</v>
      </c>
      <c r="B4" s="5"/>
      <c r="C4" s="12"/>
      <c r="E4" s="10"/>
    </row>
    <row r="5" spans="1:5" x14ac:dyDescent="0.35">
      <c r="B5" s="1"/>
      <c r="C5" s="4"/>
      <c r="D5" s="11"/>
    </row>
    <row r="6" spans="1:5" ht="17.25" customHeight="1" x14ac:dyDescent="0.45">
      <c r="B6" s="30" t="s">
        <v>93</v>
      </c>
      <c r="C6" s="3" t="s">
        <v>94</v>
      </c>
      <c r="D6" s="14">
        <f>D13*D17*D15*D16</f>
        <v>3.6840000000000002</v>
      </c>
      <c r="E6" t="s">
        <v>21</v>
      </c>
    </row>
    <row r="7" spans="1:5" ht="17.25" customHeight="1" x14ac:dyDescent="0.35">
      <c r="B7" s="2"/>
      <c r="C7" s="3"/>
      <c r="D7" s="18"/>
    </row>
    <row r="8" spans="1:5" ht="22.5" customHeight="1" x14ac:dyDescent="0.35">
      <c r="A8" s="60" t="s">
        <v>95</v>
      </c>
      <c r="B8" s="60"/>
      <c r="C8" s="60"/>
      <c r="D8" s="60"/>
    </row>
    <row r="9" spans="1:5" ht="17.25" customHeight="1" x14ac:dyDescent="0.35">
      <c r="B9" s="2"/>
      <c r="C9" s="3"/>
      <c r="D9" s="18"/>
    </row>
    <row r="10" spans="1:5" ht="17.5" x14ac:dyDescent="0.45">
      <c r="B10" s="30" t="s">
        <v>96</v>
      </c>
      <c r="C10" s="4" t="s">
        <v>97</v>
      </c>
      <c r="D10" s="14">
        <f>D14/(D13*D17*D15)</f>
        <v>6.5146579804560254</v>
      </c>
      <c r="E10" t="s">
        <v>40</v>
      </c>
    </row>
    <row r="11" spans="1:5" x14ac:dyDescent="0.35">
      <c r="B11" s="2"/>
      <c r="C11" s="3"/>
      <c r="D11" s="11"/>
    </row>
    <row r="12" spans="1:5" x14ac:dyDescent="0.35">
      <c r="A12" t="s">
        <v>26</v>
      </c>
    </row>
    <row r="13" spans="1:5" x14ac:dyDescent="0.35">
      <c r="A13" s="2" t="s">
        <v>75</v>
      </c>
      <c r="B13" s="3" t="s">
        <v>98</v>
      </c>
      <c r="C13" s="3"/>
      <c r="D13" s="8">
        <v>0.75</v>
      </c>
    </row>
    <row r="14" spans="1:5" ht="16.5" x14ac:dyDescent="0.45">
      <c r="A14" s="30" t="s">
        <v>43</v>
      </c>
      <c r="B14" s="3" t="s">
        <v>99</v>
      </c>
      <c r="D14" s="8">
        <v>3</v>
      </c>
      <c r="E14" t="s">
        <v>21</v>
      </c>
    </row>
    <row r="15" spans="1:5" ht="16.5" x14ac:dyDescent="0.45">
      <c r="A15" s="30" t="s">
        <v>100</v>
      </c>
      <c r="B15" s="3" t="s">
        <v>101</v>
      </c>
      <c r="C15" s="3"/>
      <c r="D15" s="8">
        <v>2</v>
      </c>
      <c r="E15" s="11" t="s">
        <v>79</v>
      </c>
    </row>
    <row r="16" spans="1:5" ht="16.5" x14ac:dyDescent="0.35">
      <c r="A16" s="2" t="s">
        <v>102</v>
      </c>
      <c r="B16" s="3" t="s">
        <v>50</v>
      </c>
      <c r="D16" s="8">
        <v>8</v>
      </c>
      <c r="E16" t="s">
        <v>40</v>
      </c>
    </row>
    <row r="17" spans="1:5" ht="16.5" x14ac:dyDescent="0.35">
      <c r="A17" s="2" t="s">
        <v>47</v>
      </c>
      <c r="B17" s="3" t="s">
        <v>103</v>
      </c>
      <c r="D17" s="8">
        <v>0.307</v>
      </c>
      <c r="E17" t="s">
        <v>104</v>
      </c>
    </row>
    <row r="18" spans="1:5" s="11" customFormat="1" x14ac:dyDescent="0.35">
      <c r="A18" s="20"/>
      <c r="B18" s="21"/>
    </row>
    <row r="19" spans="1:5" s="11" customFormat="1" x14ac:dyDescent="0.35">
      <c r="A19" s="62" t="s">
        <v>105</v>
      </c>
      <c r="B19" s="62"/>
    </row>
    <row r="20" spans="1:5" s="11" customFormat="1" x14ac:dyDescent="0.35">
      <c r="A20" s="20"/>
      <c r="B20" s="21"/>
    </row>
    <row r="21" spans="1:5" s="11" customFormat="1" x14ac:dyDescent="0.35">
      <c r="A21" s="20"/>
      <c r="B21" s="21"/>
    </row>
    <row r="22" spans="1:5" s="11" customFormat="1" x14ac:dyDescent="0.35">
      <c r="A22" s="20"/>
      <c r="B22" s="21"/>
    </row>
    <row r="23" spans="1:5" s="11" customFormat="1" x14ac:dyDescent="0.35">
      <c r="A23" s="20"/>
      <c r="B23" s="21"/>
    </row>
    <row r="24" spans="1:5" s="11" customFormat="1" x14ac:dyDescent="0.35">
      <c r="A24" s="20"/>
      <c r="B24" s="21"/>
    </row>
    <row r="25" spans="1:5" s="11" customFormat="1" x14ac:dyDescent="0.35">
      <c r="A25" s="20"/>
      <c r="B25" s="21"/>
    </row>
    <row r="26" spans="1:5" s="11" customFormat="1" x14ac:dyDescent="0.35">
      <c r="A26" s="20"/>
      <c r="B26" s="21"/>
    </row>
    <row r="27" spans="1:5" s="11" customFormat="1" x14ac:dyDescent="0.35">
      <c r="A27" s="20"/>
      <c r="B27" s="21"/>
    </row>
    <row r="28" spans="1:5" s="11" customFormat="1" x14ac:dyDescent="0.35">
      <c r="A28" s="20"/>
      <c r="B28" s="21"/>
    </row>
    <row r="29" spans="1:5" s="11" customFormat="1" x14ac:dyDescent="0.35">
      <c r="A29" s="20"/>
      <c r="B29" s="21"/>
    </row>
    <row r="30" spans="1:5" s="11" customFormat="1" x14ac:dyDescent="0.35">
      <c r="A30" s="20"/>
      <c r="B30" s="21"/>
    </row>
    <row r="31" spans="1:5" s="11" customFormat="1" x14ac:dyDescent="0.35">
      <c r="A31" s="20"/>
      <c r="B31" s="21"/>
    </row>
    <row r="32" spans="1:5" s="11" customFormat="1" x14ac:dyDescent="0.35">
      <c r="A32" s="20"/>
      <c r="B32" s="21"/>
    </row>
    <row r="33" spans="1:5" s="11" customFormat="1" x14ac:dyDescent="0.35">
      <c r="A33" s="20"/>
      <c r="B33" s="21"/>
    </row>
    <row r="34" spans="1:5" s="11" customFormat="1" x14ac:dyDescent="0.35">
      <c r="A34" s="20"/>
      <c r="B34" s="21"/>
    </row>
    <row r="35" spans="1:5" s="11" customFormat="1" x14ac:dyDescent="0.35">
      <c r="A35" s="20"/>
      <c r="B35" s="21"/>
    </row>
    <row r="36" spans="1:5" s="11" customFormat="1" x14ac:dyDescent="0.35">
      <c r="A36" s="20"/>
      <c r="B36" s="21"/>
    </row>
    <row r="37" spans="1:5" s="11" customFormat="1" x14ac:dyDescent="0.35">
      <c r="A37" s="20"/>
    </row>
    <row r="38" spans="1:5" s="11" customFormat="1" ht="16.5" x14ac:dyDescent="0.35">
      <c r="A38" s="20"/>
      <c r="B38" s="28" t="s">
        <v>106</v>
      </c>
      <c r="D38" s="9">
        <f>30*D14/D17</f>
        <v>293.15960912052117</v>
      </c>
      <c r="E38" s="11" t="s">
        <v>107</v>
      </c>
    </row>
    <row r="39" spans="1:5" s="11" customFormat="1" ht="16.5" x14ac:dyDescent="0.45">
      <c r="A39" s="20"/>
      <c r="B39" s="30" t="s">
        <v>108</v>
      </c>
      <c r="D39" s="14">
        <f>MIN(2.2,D40+D44)</f>
        <v>1.3338612497130176</v>
      </c>
      <c r="E39" t="s">
        <v>79</v>
      </c>
    </row>
    <row r="40" spans="1:5" s="11" customFormat="1" ht="16.5" x14ac:dyDescent="0.45">
      <c r="A40" s="20"/>
      <c r="B40" s="30" t="s">
        <v>109</v>
      </c>
      <c r="D40" s="8">
        <v>0.2</v>
      </c>
    </row>
    <row r="41" spans="1:5" s="11" customFormat="1" ht="16.5" x14ac:dyDescent="0.45">
      <c r="A41" s="20"/>
      <c r="B41" s="30" t="s">
        <v>110</v>
      </c>
    </row>
    <row r="42" spans="1:5" ht="15.75" customHeight="1" x14ac:dyDescent="0.35">
      <c r="C42" s="3"/>
    </row>
    <row r="43" spans="1:5" ht="15" customHeight="1" x14ac:dyDescent="0.35">
      <c r="D43" s="3"/>
    </row>
    <row r="44" spans="1:5" ht="15" customHeight="1" x14ac:dyDescent="0.35">
      <c r="C44" s="4" t="s">
        <v>111</v>
      </c>
      <c r="D44" s="14">
        <f>(1+2.35/(D50*(1-1.2/D51)+0.05))*(0.0183*D48^2*SIN(D49*PI()/180)^2)</f>
        <v>1.1338612497130176</v>
      </c>
      <c r="E44" t="s">
        <v>79</v>
      </c>
    </row>
    <row r="45" spans="1:5" ht="15.75" customHeight="1" x14ac:dyDescent="0.35">
      <c r="D45" s="3"/>
    </row>
    <row r="47" spans="1:5" x14ac:dyDescent="0.35">
      <c r="A47" t="s">
        <v>26</v>
      </c>
    </row>
    <row r="48" spans="1:5" x14ac:dyDescent="0.35">
      <c r="A48" s="2" t="s">
        <v>112</v>
      </c>
      <c r="B48" s="3" t="s">
        <v>113</v>
      </c>
      <c r="D48" s="8">
        <v>3</v>
      </c>
      <c r="E48" t="s">
        <v>114</v>
      </c>
    </row>
    <row r="49" spans="1:5" ht="25.5" x14ac:dyDescent="0.35">
      <c r="A49" s="3" t="s">
        <v>115</v>
      </c>
      <c r="B49" s="3" t="s">
        <v>116</v>
      </c>
      <c r="D49" s="8">
        <v>45</v>
      </c>
      <c r="E49" t="s">
        <v>117</v>
      </c>
    </row>
    <row r="50" spans="1:5" ht="16.5" x14ac:dyDescent="0.35">
      <c r="A50" s="2" t="s">
        <v>72</v>
      </c>
      <c r="B50" s="3" t="s">
        <v>48</v>
      </c>
      <c r="D50" s="8">
        <v>0.307</v>
      </c>
      <c r="E50" t="s">
        <v>104</v>
      </c>
    </row>
    <row r="51" spans="1:5" ht="25" x14ac:dyDescent="0.35">
      <c r="A51" s="19" t="s">
        <v>115</v>
      </c>
      <c r="B51" s="3" t="s">
        <v>118</v>
      </c>
      <c r="D51" s="8">
        <v>2.13</v>
      </c>
      <c r="E51" t="s">
        <v>104</v>
      </c>
    </row>
  </sheetData>
  <mergeCells count="2">
    <mergeCell ref="A19:B19"/>
    <mergeCell ref="A8:D8"/>
  </mergeCells>
  <pageMargins left="0.7" right="0.7" top="0.75" bottom="0.75" header="0.3" footer="0.3"/>
  <pageSetup paperSize="9" scale="99" orientation="portrait" r:id="rId1"/>
  <drawing r:id="rId2"/>
  <legacyDrawing r:id="rId3"/>
  <oleObjects>
    <mc:AlternateContent xmlns:mc="http://schemas.openxmlformats.org/markup-compatibility/2006">
      <mc:Choice Requires="x14">
        <oleObject progId="Equation.3" shapeId="5122" r:id="rId4">
          <objectPr defaultSize="0" autoPict="0" r:id="rId5">
            <anchor moveWithCells="1" sizeWithCells="1">
              <from>
                <xdr:col>1</xdr:col>
                <xdr:colOff>50800</xdr:colOff>
                <xdr:row>41</xdr:row>
                <xdr:rowOff>50800</xdr:rowOff>
              </from>
              <to>
                <xdr:col>1</xdr:col>
                <xdr:colOff>3048000</xdr:colOff>
                <xdr:row>45</xdr:row>
                <xdr:rowOff>133350</xdr:rowOff>
              </to>
            </anchor>
          </objectPr>
        </oleObject>
      </mc:Choice>
      <mc:Fallback>
        <oleObject progId="Equation.3" shapeId="5122" r:id="rId4"/>
      </mc:Fallback>
    </mc:AlternateContent>
    <mc:AlternateContent xmlns:mc="http://schemas.openxmlformats.org/markup-compatibility/2006">
      <mc:Choice Requires="x14">
        <oleObject progId="Equation.3" shapeId="5125" r:id="rId6">
          <objectPr defaultSize="0" autoPict="0" r:id="rId7">
            <anchor moveWithCells="1" sizeWithCells="1">
              <from>
                <xdr:col>0</xdr:col>
                <xdr:colOff>0</xdr:colOff>
                <xdr:row>48</xdr:row>
                <xdr:rowOff>0</xdr:rowOff>
              </from>
              <to>
                <xdr:col>0</xdr:col>
                <xdr:colOff>146050</xdr:colOff>
                <xdr:row>48</xdr:row>
                <xdr:rowOff>152400</xdr:rowOff>
              </to>
            </anchor>
          </objectPr>
        </oleObject>
      </mc:Choice>
      <mc:Fallback>
        <oleObject progId="Equation.3" shapeId="5125" r:id="rId6"/>
      </mc:Fallback>
    </mc:AlternateContent>
    <mc:AlternateContent xmlns:mc="http://schemas.openxmlformats.org/markup-compatibility/2006">
      <mc:Choice Requires="x14">
        <oleObject progId="Equation.3" shapeId="5124" r:id="rId8">
          <objectPr defaultSize="0" autoPict="0" r:id="rId9">
            <anchor moveWithCells="1" sizeWithCells="1">
              <from>
                <xdr:col>1</xdr:col>
                <xdr:colOff>755650</xdr:colOff>
                <xdr:row>48</xdr:row>
                <xdr:rowOff>171450</xdr:rowOff>
              </from>
              <to>
                <xdr:col>1</xdr:col>
                <xdr:colOff>895350</xdr:colOff>
                <xdr:row>49</xdr:row>
                <xdr:rowOff>0</xdr:rowOff>
              </to>
            </anchor>
          </objectPr>
        </oleObject>
      </mc:Choice>
      <mc:Fallback>
        <oleObject progId="Equation.3" shapeId="5124" r:id="rId8"/>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3"/>
  <sheetViews>
    <sheetView zoomScaleNormal="100" zoomScaleSheetLayoutView="100" workbookViewId="0">
      <selection activeCell="D14" sqref="D14"/>
    </sheetView>
  </sheetViews>
  <sheetFormatPr defaultRowHeight="14.5" x14ac:dyDescent="0.35"/>
  <cols>
    <col min="2" max="2" width="51.54296875" customWidth="1"/>
    <col min="5" max="5" width="8.26953125" customWidth="1"/>
  </cols>
  <sheetData>
    <row r="1" spans="1:5" x14ac:dyDescent="0.35">
      <c r="A1" s="6" t="s">
        <v>119</v>
      </c>
      <c r="B1" s="17" t="s">
        <v>120</v>
      </c>
    </row>
    <row r="2" spans="1:5" x14ac:dyDescent="0.35">
      <c r="A2" s="6"/>
      <c r="B2" s="6"/>
    </row>
    <row r="4" spans="1:5" ht="30" customHeight="1" x14ac:dyDescent="0.35">
      <c r="A4" s="60" t="s">
        <v>92</v>
      </c>
      <c r="B4" s="60"/>
      <c r="C4" s="12"/>
      <c r="E4" s="10"/>
    </row>
    <row r="5" spans="1:5" x14ac:dyDescent="0.35">
      <c r="B5" s="1"/>
      <c r="C5" s="4"/>
      <c r="D5" s="11"/>
    </row>
    <row r="6" spans="1:5" ht="17.25" customHeight="1" x14ac:dyDescent="0.45">
      <c r="B6" s="30" t="s">
        <v>121</v>
      </c>
      <c r="C6" s="3" t="s">
        <v>122</v>
      </c>
      <c r="D6" s="9">
        <f>MIN(D13*D17*D16*2.2,26*D17)</f>
        <v>0.45144000000000006</v>
      </c>
      <c r="E6" t="s">
        <v>21</v>
      </c>
    </row>
    <row r="7" spans="1:5" ht="17.25" customHeight="1" x14ac:dyDescent="0.35">
      <c r="B7" s="2"/>
      <c r="C7" s="3"/>
      <c r="D7" s="11"/>
    </row>
    <row r="8" spans="1:5" ht="23.25" customHeight="1" x14ac:dyDescent="0.35">
      <c r="A8" s="63" t="s">
        <v>123</v>
      </c>
      <c r="B8" s="63"/>
      <c r="C8" s="63"/>
      <c r="D8" s="11"/>
    </row>
    <row r="9" spans="1:5" ht="17.25" customHeight="1" x14ac:dyDescent="0.35">
      <c r="B9" s="2"/>
      <c r="C9" s="3"/>
      <c r="D9" s="11"/>
    </row>
    <row r="10" spans="1:5" ht="17.5" x14ac:dyDescent="0.45">
      <c r="B10" s="30" t="s">
        <v>124</v>
      </c>
      <c r="C10" s="3" t="s">
        <v>125</v>
      </c>
      <c r="D10" s="14">
        <f>D14/(D13*D17*2.2)</f>
        <v>10.765550239234448</v>
      </c>
      <c r="E10" t="s">
        <v>40</v>
      </c>
    </row>
    <row r="11" spans="1:5" x14ac:dyDescent="0.35">
      <c r="B11" s="2"/>
      <c r="C11" s="3"/>
      <c r="D11" s="11"/>
    </row>
    <row r="12" spans="1:5" x14ac:dyDescent="0.35">
      <c r="A12" t="s">
        <v>26</v>
      </c>
    </row>
    <row r="13" spans="1:5" ht="38.5" x14ac:dyDescent="0.35">
      <c r="A13" s="2" t="s">
        <v>75</v>
      </c>
      <c r="B13" s="3" t="s">
        <v>126</v>
      </c>
      <c r="C13" s="3"/>
      <c r="D13" s="8">
        <v>0.5</v>
      </c>
    </row>
    <row r="14" spans="1:5" ht="16.5" x14ac:dyDescent="0.45">
      <c r="A14" s="30" t="s">
        <v>43</v>
      </c>
      <c r="B14" s="3" t="s">
        <v>99</v>
      </c>
      <c r="D14" s="8">
        <v>0.45</v>
      </c>
      <c r="E14" t="s">
        <v>21</v>
      </c>
    </row>
    <row r="15" spans="1:5" x14ac:dyDescent="0.35">
      <c r="A15" s="2">
        <v>2.2000000000000002</v>
      </c>
      <c r="B15" s="3" t="s">
        <v>127</v>
      </c>
      <c r="C15" s="3"/>
      <c r="D15" s="11"/>
      <c r="E15" s="11"/>
    </row>
    <row r="16" spans="1:5" ht="16.5" x14ac:dyDescent="0.35">
      <c r="A16" s="2" t="s">
        <v>102</v>
      </c>
      <c r="B16" s="3" t="s">
        <v>128</v>
      </c>
      <c r="D16" s="8">
        <v>10.8</v>
      </c>
      <c r="E16" t="s">
        <v>40</v>
      </c>
    </row>
    <row r="17" spans="1:5" ht="16.5" x14ac:dyDescent="0.35">
      <c r="A17" s="2" t="s">
        <v>47</v>
      </c>
      <c r="B17" s="3" t="s">
        <v>129</v>
      </c>
      <c r="D17" s="8">
        <v>3.7999999999999999E-2</v>
      </c>
      <c r="E17" t="s">
        <v>104</v>
      </c>
    </row>
    <row r="18" spans="1:5" x14ac:dyDescent="0.35">
      <c r="B18" s="16" t="str">
        <f>"[CF factor required to get A = Amin: "&amp;D14/(D17*D16*2.2)&amp;"]"</f>
        <v>[CF factor required to get A = Amin: 0.498405103668262]</v>
      </c>
      <c r="D18" s="11"/>
    </row>
    <row r="19" spans="1:5" x14ac:dyDescent="0.35">
      <c r="B19" s="3"/>
      <c r="D19" s="11"/>
    </row>
    <row r="20" spans="1:5" ht="30" customHeight="1" x14ac:dyDescent="0.35">
      <c r="A20" s="60" t="s">
        <v>130</v>
      </c>
      <c r="B20" s="60"/>
    </row>
    <row r="21" spans="1:5" x14ac:dyDescent="0.35">
      <c r="C21" s="3"/>
    </row>
    <row r="22" spans="1:5" ht="16.5" x14ac:dyDescent="0.35">
      <c r="C22" s="3" t="s">
        <v>131</v>
      </c>
      <c r="D22" s="9">
        <f>3600*8*D32*SQRT(D28)/240*(D30/D31)^(3/4)*(D33^0.25/(1-D33))</f>
        <v>406.26607507006872</v>
      </c>
      <c r="E22" s="11" t="s">
        <v>107</v>
      </c>
    </row>
    <row r="23" spans="1:5" x14ac:dyDescent="0.35">
      <c r="C23" s="22" t="s">
        <v>132</v>
      </c>
      <c r="D23" s="22">
        <f>D22/3600/D28</f>
        <v>2.5331467456669703</v>
      </c>
      <c r="E23" s="22" t="s">
        <v>114</v>
      </c>
    </row>
    <row r="24" spans="1:5" x14ac:dyDescent="0.35">
      <c r="C24" s="11"/>
      <c r="D24" s="11"/>
      <c r="E24" s="11"/>
    </row>
    <row r="25" spans="1:5" x14ac:dyDescent="0.35">
      <c r="A25" t="s">
        <v>26</v>
      </c>
    </row>
    <row r="26" spans="1:5" x14ac:dyDescent="0.35">
      <c r="A26" s="15">
        <v>3600</v>
      </c>
      <c r="B26" s="15" t="s">
        <v>133</v>
      </c>
      <c r="D26" s="11"/>
    </row>
    <row r="27" spans="1:5" x14ac:dyDescent="0.35">
      <c r="A27" s="15">
        <v>8</v>
      </c>
      <c r="B27" s="15" t="s">
        <v>133</v>
      </c>
      <c r="D27" s="11"/>
    </row>
    <row r="28" spans="1:5" ht="26" x14ac:dyDescent="0.35">
      <c r="A28" s="39" t="s">
        <v>134</v>
      </c>
      <c r="B28" s="15" t="s">
        <v>135</v>
      </c>
      <c r="D28" s="8">
        <f>0.33*0.135</f>
        <v>4.4550000000000006E-2</v>
      </c>
      <c r="E28" t="s">
        <v>40</v>
      </c>
    </row>
    <row r="29" spans="1:5" x14ac:dyDescent="0.35">
      <c r="A29" s="15">
        <v>240</v>
      </c>
      <c r="B29" s="15" t="s">
        <v>136</v>
      </c>
      <c r="D29" s="11"/>
    </row>
    <row r="30" spans="1:5" ht="16.5" x14ac:dyDescent="0.35">
      <c r="A30" s="39" t="s">
        <v>43</v>
      </c>
      <c r="B30" s="15" t="s">
        <v>137</v>
      </c>
      <c r="D30" s="11">
        <f>D14</f>
        <v>0.45</v>
      </c>
      <c r="E30" t="s">
        <v>21</v>
      </c>
    </row>
    <row r="31" spans="1:5" ht="16.5" x14ac:dyDescent="0.35">
      <c r="A31" s="16" t="s">
        <v>138</v>
      </c>
      <c r="B31" t="s">
        <v>139</v>
      </c>
      <c r="D31" s="11">
        <f>D17</f>
        <v>3.7999999999999999E-2</v>
      </c>
      <c r="E31" t="s">
        <v>104</v>
      </c>
    </row>
    <row r="32" spans="1:5" ht="26" x14ac:dyDescent="0.35">
      <c r="A32" s="2" t="s">
        <v>140</v>
      </c>
      <c r="B32" s="15" t="s">
        <v>141</v>
      </c>
      <c r="D32" s="8">
        <v>1.5</v>
      </c>
    </row>
    <row r="33" spans="1:4" ht="62" x14ac:dyDescent="0.45">
      <c r="A33" s="2" t="s">
        <v>142</v>
      </c>
      <c r="B33" s="40" t="s">
        <v>143</v>
      </c>
      <c r="D33">
        <f>D14/(D17*2.2*D16)</f>
        <v>0.49840510366826152</v>
      </c>
    </row>
  </sheetData>
  <mergeCells count="3">
    <mergeCell ref="A4:B4"/>
    <mergeCell ref="A20:B20"/>
    <mergeCell ref="A8:C8"/>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DSMT4" shapeId="4097" r:id="rId4">
          <objectPr defaultSize="0" autoPict="0" r:id="rId5">
            <anchor moveWithCells="1" sizeWithCells="1">
              <from>
                <xdr:col>1</xdr:col>
                <xdr:colOff>0</xdr:colOff>
                <xdr:row>20</xdr:row>
                <xdr:rowOff>0</xdr:rowOff>
              </from>
              <to>
                <xdr:col>1</xdr:col>
                <xdr:colOff>2451100</xdr:colOff>
                <xdr:row>22</xdr:row>
                <xdr:rowOff>114300</xdr:rowOff>
              </to>
            </anchor>
          </objectPr>
        </oleObject>
      </mc:Choice>
      <mc:Fallback>
        <oleObject progId="Equation.DSMT4" shapeId="4097"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zoomScaleSheetLayoutView="100" workbookViewId="0">
      <selection activeCell="D20" sqref="D20"/>
    </sheetView>
  </sheetViews>
  <sheetFormatPr defaultRowHeight="14.5" x14ac:dyDescent="0.35"/>
  <cols>
    <col min="1" max="1" width="10.1796875" bestFit="1" customWidth="1"/>
    <col min="2" max="2" width="51.54296875" customWidth="1"/>
    <col min="3" max="3" width="8.453125" customWidth="1"/>
    <col min="5" max="5" width="8.26953125" customWidth="1"/>
  </cols>
  <sheetData>
    <row r="1" spans="1:5" x14ac:dyDescent="0.35">
      <c r="A1" s="6" t="s">
        <v>144</v>
      </c>
      <c r="B1" s="17" t="s">
        <v>145</v>
      </c>
    </row>
    <row r="2" spans="1:5" x14ac:dyDescent="0.35">
      <c r="A2" s="6"/>
      <c r="B2" s="6"/>
    </row>
    <row r="4" spans="1:5" ht="39" customHeight="1" x14ac:dyDescent="0.35">
      <c r="A4" s="63" t="s">
        <v>146</v>
      </c>
      <c r="B4" s="63"/>
      <c r="C4" s="12"/>
      <c r="E4" s="10"/>
    </row>
    <row r="6" spans="1:5" ht="17.5" x14ac:dyDescent="0.45">
      <c r="B6" s="30" t="s">
        <v>147</v>
      </c>
      <c r="C6" s="3"/>
      <c r="D6" s="9">
        <f>MAX(3600*(1/0.25)*24.5/D11*D15,2)</f>
        <v>33.008181818181818</v>
      </c>
      <c r="E6" t="s">
        <v>107</v>
      </c>
    </row>
    <row r="7" spans="1:5" x14ac:dyDescent="0.35">
      <c r="C7" s="3" t="s">
        <v>148</v>
      </c>
    </row>
    <row r="8" spans="1:5" x14ac:dyDescent="0.35">
      <c r="A8" t="s">
        <v>26</v>
      </c>
    </row>
    <row r="9" spans="1:5" x14ac:dyDescent="0.35">
      <c r="A9" s="3" t="s">
        <v>149</v>
      </c>
      <c r="B9" s="3" t="s">
        <v>150</v>
      </c>
    </row>
    <row r="10" spans="1:5" x14ac:dyDescent="0.35">
      <c r="A10" s="2" t="s">
        <v>151</v>
      </c>
      <c r="B10" s="3" t="s">
        <v>152</v>
      </c>
    </row>
    <row r="11" spans="1:5" x14ac:dyDescent="0.35">
      <c r="A11" s="2" t="s">
        <v>153</v>
      </c>
      <c r="B11" s="3" t="s">
        <v>154</v>
      </c>
      <c r="C11" s="3"/>
      <c r="D11" s="8">
        <v>44</v>
      </c>
      <c r="E11" t="s">
        <v>155</v>
      </c>
    </row>
    <row r="12" spans="1:5" ht="16.5" x14ac:dyDescent="0.45">
      <c r="A12" s="30" t="s">
        <v>156</v>
      </c>
      <c r="B12" s="55" t="s">
        <v>157</v>
      </c>
    </row>
    <row r="14" spans="1:5" ht="37.5" x14ac:dyDescent="0.35">
      <c r="A14" s="3">
        <v>24.5</v>
      </c>
      <c r="B14" s="3" t="s">
        <v>158</v>
      </c>
    </row>
    <row r="15" spans="1:5" ht="16.5" x14ac:dyDescent="0.45">
      <c r="A15" s="30" t="s">
        <v>159</v>
      </c>
      <c r="B15" s="3" t="s">
        <v>160</v>
      </c>
      <c r="D15" s="8">
        <f>D18</f>
        <v>4.1166666666666669E-3</v>
      </c>
    </row>
    <row r="17" spans="1:5" ht="30" customHeight="1" x14ac:dyDescent="0.35">
      <c r="A17" s="60" t="s">
        <v>161</v>
      </c>
      <c r="B17" s="60"/>
      <c r="C17" s="60"/>
      <c r="D17" s="60"/>
    </row>
    <row r="18" spans="1:5" ht="16.5" x14ac:dyDescent="0.45">
      <c r="B18" s="30" t="s">
        <v>162</v>
      </c>
      <c r="C18" s="3" t="s">
        <v>163</v>
      </c>
      <c r="D18" s="9">
        <f>D20/240</f>
        <v>4.1166666666666669E-3</v>
      </c>
      <c r="E18" t="s">
        <v>164</v>
      </c>
    </row>
    <row r="19" spans="1:5" x14ac:dyDescent="0.35">
      <c r="A19" s="3" t="s">
        <v>26</v>
      </c>
    </row>
    <row r="20" spans="1:5" ht="16.5" x14ac:dyDescent="0.35">
      <c r="A20" s="39" t="s">
        <v>43</v>
      </c>
      <c r="B20" s="55" t="s">
        <v>165</v>
      </c>
      <c r="C20" s="3"/>
      <c r="D20" s="8">
        <v>0.98799999999999999</v>
      </c>
      <c r="E20" t="s">
        <v>21</v>
      </c>
    </row>
    <row r="21" spans="1:5" x14ac:dyDescent="0.35">
      <c r="A21" s="3">
        <v>240</v>
      </c>
      <c r="B21" s="3" t="s">
        <v>166</v>
      </c>
    </row>
    <row r="23" spans="1:5" x14ac:dyDescent="0.35">
      <c r="A23" s="58" t="s">
        <v>167</v>
      </c>
      <c r="B23" s="58"/>
      <c r="C23" s="58"/>
      <c r="D23" s="58"/>
    </row>
    <row r="24" spans="1:5" x14ac:dyDescent="0.35">
      <c r="A24" s="58" t="s">
        <v>168</v>
      </c>
      <c r="B24" s="58"/>
      <c r="C24" s="58"/>
      <c r="D24" s="58"/>
    </row>
    <row r="25" spans="1:5" x14ac:dyDescent="0.35">
      <c r="A25" s="58" t="s">
        <v>169</v>
      </c>
      <c r="B25" s="58"/>
      <c r="C25" s="58"/>
      <c r="D25" s="58"/>
    </row>
  </sheetData>
  <mergeCells count="5">
    <mergeCell ref="A4:B4"/>
    <mergeCell ref="A17:D17"/>
    <mergeCell ref="A23:D23"/>
    <mergeCell ref="A24:D24"/>
    <mergeCell ref="A25:D25"/>
  </mergeCells>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D14" sqref="D14"/>
    </sheetView>
  </sheetViews>
  <sheetFormatPr defaultRowHeight="14.5" x14ac:dyDescent="0.35"/>
  <cols>
    <col min="2" max="2" width="51.54296875" customWidth="1"/>
    <col min="5" max="5" width="8.26953125" customWidth="1"/>
  </cols>
  <sheetData>
    <row r="1" spans="1:5" ht="27.75" customHeight="1" x14ac:dyDescent="0.35">
      <c r="A1" s="6" t="s">
        <v>170</v>
      </c>
      <c r="B1" s="64" t="s">
        <v>171</v>
      </c>
      <c r="C1" s="64"/>
      <c r="D1" s="64"/>
      <c r="E1" s="64"/>
    </row>
    <row r="2" spans="1:5" x14ac:dyDescent="0.35">
      <c r="A2" s="6" t="s">
        <v>172</v>
      </c>
      <c r="B2" s="6" t="s">
        <v>173</v>
      </c>
    </row>
    <row r="4" spans="1:5" ht="30" customHeight="1" x14ac:dyDescent="0.35">
      <c r="A4" s="4" t="s">
        <v>92</v>
      </c>
      <c r="B4" s="12"/>
      <c r="C4" s="12"/>
      <c r="E4" s="10"/>
    </row>
    <row r="5" spans="1:5" x14ac:dyDescent="0.35">
      <c r="D5" s="11"/>
    </row>
    <row r="6" spans="1:5" ht="17.25" customHeight="1" x14ac:dyDescent="0.45">
      <c r="B6" s="30" t="s">
        <v>121</v>
      </c>
      <c r="C6" s="4" t="s">
        <v>174</v>
      </c>
      <c r="D6" s="9">
        <f>0.25*D15*D16*2.2</f>
        <v>0.35530000000000006</v>
      </c>
      <c r="E6" t="s">
        <v>21</v>
      </c>
    </row>
    <row r="7" spans="1:5" ht="17.25" customHeight="1" x14ac:dyDescent="0.35">
      <c r="B7" s="1"/>
      <c r="C7" s="4"/>
      <c r="D7" s="11"/>
    </row>
    <row r="8" spans="1:5" ht="27" customHeight="1" x14ac:dyDescent="0.35">
      <c r="A8" s="63" t="s">
        <v>175</v>
      </c>
      <c r="B8" s="63"/>
      <c r="C8" s="63"/>
      <c r="D8" s="63"/>
    </row>
    <row r="9" spans="1:5" x14ac:dyDescent="0.35">
      <c r="B9" s="1"/>
      <c r="C9" s="4"/>
      <c r="D9" s="11"/>
    </row>
    <row r="10" spans="1:5" ht="17.5" x14ac:dyDescent="0.45">
      <c r="B10" s="30" t="s">
        <v>124</v>
      </c>
      <c r="C10" s="3" t="s">
        <v>176</v>
      </c>
      <c r="D10" s="14">
        <f>D14/(0.25*D16*2.2)</f>
        <v>14.354066985645931</v>
      </c>
      <c r="E10" t="s">
        <v>40</v>
      </c>
    </row>
    <row r="11" spans="1:5" x14ac:dyDescent="0.35">
      <c r="B11" s="2"/>
      <c r="C11" s="3"/>
      <c r="D11" s="11"/>
    </row>
    <row r="12" spans="1:5" x14ac:dyDescent="0.35">
      <c r="A12" t="s">
        <v>26</v>
      </c>
    </row>
    <row r="13" spans="1:5" x14ac:dyDescent="0.35">
      <c r="A13" s="2" t="s">
        <v>75</v>
      </c>
      <c r="B13" s="3" t="s">
        <v>152</v>
      </c>
      <c r="C13" s="3"/>
      <c r="D13" s="11"/>
    </row>
    <row r="14" spans="1:5" ht="16.5" x14ac:dyDescent="0.35">
      <c r="A14" s="39" t="s">
        <v>43</v>
      </c>
      <c r="B14" s="3" t="s">
        <v>177</v>
      </c>
      <c r="C14" s="3"/>
      <c r="D14" s="8">
        <v>0.3</v>
      </c>
      <c r="E14" t="s">
        <v>21</v>
      </c>
    </row>
    <row r="15" spans="1:5" ht="16.5" x14ac:dyDescent="0.35">
      <c r="A15" s="2" t="s">
        <v>69</v>
      </c>
      <c r="B15" s="3" t="s">
        <v>50</v>
      </c>
      <c r="D15" s="8">
        <v>17</v>
      </c>
      <c r="E15" t="s">
        <v>40</v>
      </c>
    </row>
    <row r="16" spans="1:5" ht="16.5" x14ac:dyDescent="0.35">
      <c r="A16" s="2" t="s">
        <v>47</v>
      </c>
      <c r="B16" s="3" t="s">
        <v>178</v>
      </c>
      <c r="D16" s="8">
        <v>3.7999999999999999E-2</v>
      </c>
      <c r="E16" t="s">
        <v>104</v>
      </c>
    </row>
    <row r="17" spans="1:5" x14ac:dyDescent="0.35">
      <c r="A17" s="3">
        <v>2.2000000000000002</v>
      </c>
      <c r="B17" s="3" t="s">
        <v>179</v>
      </c>
      <c r="D17" s="11"/>
      <c r="E17" s="11"/>
    </row>
  </sheetData>
  <mergeCells count="2">
    <mergeCell ref="B1:E1"/>
    <mergeCell ref="A8:D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6"/>
  <sheetViews>
    <sheetView view="pageBreakPreview" zoomScaleNormal="100" zoomScaleSheetLayoutView="100" workbookViewId="0">
      <selection activeCell="D15" sqref="D15"/>
    </sheetView>
  </sheetViews>
  <sheetFormatPr defaultRowHeight="14.5" x14ac:dyDescent="0.35"/>
  <cols>
    <col min="2" max="2" width="51.54296875" customWidth="1"/>
    <col min="5" max="5" width="8.26953125" customWidth="1"/>
  </cols>
  <sheetData>
    <row r="1" spans="1:5" x14ac:dyDescent="0.35">
      <c r="A1" s="6" t="s">
        <v>180</v>
      </c>
      <c r="B1" s="17" t="s">
        <v>181</v>
      </c>
    </row>
    <row r="2" spans="1:5" x14ac:dyDescent="0.35">
      <c r="A2" s="6" t="s">
        <v>182</v>
      </c>
      <c r="B2" s="6" t="s">
        <v>183</v>
      </c>
    </row>
    <row r="4" spans="1:5" ht="30" customHeight="1" x14ac:dyDescent="0.35">
      <c r="A4" s="65" t="s">
        <v>184</v>
      </c>
      <c r="B4" s="65"/>
      <c r="C4" s="65"/>
      <c r="D4" s="65"/>
      <c r="E4" s="10"/>
    </row>
    <row r="5" spans="1:5" x14ac:dyDescent="0.35">
      <c r="B5" s="1"/>
      <c r="C5" s="4"/>
      <c r="D5" s="11"/>
    </row>
    <row r="6" spans="1:5" ht="17.25" customHeight="1" x14ac:dyDescent="0.35"/>
    <row r="7" spans="1:5" ht="17.25" customHeight="1" x14ac:dyDescent="0.35">
      <c r="C7" s="4" t="s">
        <v>185</v>
      </c>
      <c r="D7" s="9">
        <f>(D16/0.14)^2/(0.04/D17)</f>
        <v>97.895408163265301</v>
      </c>
      <c r="E7" t="s">
        <v>21</v>
      </c>
    </row>
    <row r="8" spans="1:5" ht="17.25" customHeight="1" x14ac:dyDescent="0.35">
      <c r="C8" s="21"/>
      <c r="D8" s="11"/>
    </row>
    <row r="9" spans="1:5" ht="17.25" customHeight="1" x14ac:dyDescent="0.35">
      <c r="C9" s="21"/>
      <c r="D9" s="11"/>
    </row>
    <row r="10" spans="1:5" ht="17.25" customHeight="1" x14ac:dyDescent="0.35">
      <c r="C10" s="21"/>
      <c r="D10" s="11"/>
    </row>
    <row r="11" spans="1:5" ht="17.25" customHeight="1" x14ac:dyDescent="0.35">
      <c r="C11" s="4" t="s">
        <v>186</v>
      </c>
      <c r="D11" s="14">
        <f>0.14*SQRT(D15*0.04/D17)</f>
        <v>0.35733359262310915</v>
      </c>
      <c r="E11" t="s">
        <v>40</v>
      </c>
    </row>
    <row r="12" spans="1:5" ht="17.25" customHeight="1" x14ac:dyDescent="0.35">
      <c r="C12" s="21"/>
      <c r="D12" s="11"/>
    </row>
    <row r="13" spans="1:5" ht="17.25" customHeight="1" x14ac:dyDescent="0.35">
      <c r="B13" s="2"/>
      <c r="C13" s="3"/>
      <c r="D13" s="11"/>
    </row>
    <row r="14" spans="1:5" x14ac:dyDescent="0.35">
      <c r="A14" t="s">
        <v>26</v>
      </c>
    </row>
    <row r="15" spans="1:5" ht="16.5" x14ac:dyDescent="0.35">
      <c r="A15" s="39" t="s">
        <v>43</v>
      </c>
      <c r="B15" s="3" t="s">
        <v>187</v>
      </c>
      <c r="C15" s="3"/>
      <c r="D15" s="8">
        <v>50</v>
      </c>
      <c r="E15" t="s">
        <v>21</v>
      </c>
    </row>
    <row r="16" spans="1:5" ht="17.5" x14ac:dyDescent="0.45">
      <c r="A16" s="30" t="s">
        <v>188</v>
      </c>
      <c r="B16" s="3" t="s">
        <v>189</v>
      </c>
      <c r="D16" s="8">
        <v>0.5</v>
      </c>
      <c r="E16" t="s">
        <v>40</v>
      </c>
    </row>
    <row r="17" spans="1:5" ht="16.5" x14ac:dyDescent="0.35">
      <c r="A17" s="2" t="s">
        <v>190</v>
      </c>
      <c r="B17" s="3" t="s">
        <v>191</v>
      </c>
      <c r="C17" s="3"/>
      <c r="D17" s="8">
        <v>0.307</v>
      </c>
      <c r="E17" t="s">
        <v>104</v>
      </c>
    </row>
    <row r="18" spans="1:5" ht="25" x14ac:dyDescent="0.35">
      <c r="A18" s="3">
        <v>0.14000000000000001</v>
      </c>
      <c r="B18" s="3" t="s">
        <v>192</v>
      </c>
      <c r="D18" s="11"/>
    </row>
    <row r="19" spans="1:5" x14ac:dyDescent="0.35">
      <c r="A19" s="3">
        <v>0.04</v>
      </c>
      <c r="B19" s="3" t="s">
        <v>193</v>
      </c>
      <c r="D19" s="11"/>
    </row>
    <row r="22" spans="1:5" x14ac:dyDescent="0.35">
      <c r="A22" s="2"/>
      <c r="C22" s="3"/>
    </row>
    <row r="23" spans="1:5" x14ac:dyDescent="0.35">
      <c r="A23" s="2"/>
      <c r="B23" s="3"/>
    </row>
    <row r="24" spans="1:5" x14ac:dyDescent="0.35">
      <c r="A24" s="2"/>
      <c r="B24" s="3"/>
    </row>
    <row r="25" spans="1:5" x14ac:dyDescent="0.35">
      <c r="A25" s="30"/>
      <c r="B25" s="3"/>
    </row>
    <row r="26" spans="1:5" x14ac:dyDescent="0.35">
      <c r="A26" s="30"/>
      <c r="B26" s="3"/>
    </row>
  </sheetData>
  <mergeCells count="1">
    <mergeCell ref="A4:D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DSMT4" shapeId="11266" r:id="rId4">
          <objectPr defaultSize="0" autoPict="0" r:id="rId5">
            <anchor moveWithCells="1" sizeWithCells="1">
              <from>
                <xdr:col>1</xdr:col>
                <xdr:colOff>76200</xdr:colOff>
                <xdr:row>4</xdr:row>
                <xdr:rowOff>38100</xdr:rowOff>
              </from>
              <to>
                <xdr:col>1</xdr:col>
                <xdr:colOff>1079500</xdr:colOff>
                <xdr:row>8</xdr:row>
                <xdr:rowOff>76200</xdr:rowOff>
              </to>
            </anchor>
          </objectPr>
        </oleObject>
      </mc:Choice>
      <mc:Fallback>
        <oleObject progId="Equation.DSMT4" shapeId="11266" r:id="rId4"/>
      </mc:Fallback>
    </mc:AlternateContent>
    <mc:AlternateContent xmlns:mc="http://schemas.openxmlformats.org/markup-compatibility/2006">
      <mc:Choice Requires="x14">
        <oleObject progId="Equation.DSMT4" shapeId="11268" r:id="rId6">
          <objectPr defaultSize="0" autoPict="0" r:id="rId7">
            <anchor moveWithCells="1" sizeWithCells="1">
              <from>
                <xdr:col>1</xdr:col>
                <xdr:colOff>69850</xdr:colOff>
                <xdr:row>9</xdr:row>
                <xdr:rowOff>76200</xdr:rowOff>
              </from>
              <to>
                <xdr:col>1</xdr:col>
                <xdr:colOff>1727200</xdr:colOff>
                <xdr:row>11</xdr:row>
                <xdr:rowOff>88900</xdr:rowOff>
              </to>
            </anchor>
          </objectPr>
        </oleObject>
      </mc:Choice>
      <mc:Fallback>
        <oleObject progId="Equation.DSMT4" shapeId="11268"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54</vt:i4>
      </vt:variant>
    </vt:vector>
  </HeadingPairs>
  <TitlesOfParts>
    <vt:vector size="70" baseType="lpstr">
      <vt:lpstr>Front Page</vt:lpstr>
      <vt:lpstr>GG.1.2</vt:lpstr>
      <vt:lpstr>GG.1.3.2</vt:lpstr>
      <vt:lpstr>GG.2.1</vt:lpstr>
      <vt:lpstr>GG.2.2</vt:lpstr>
      <vt:lpstr>GG.2.3</vt:lpstr>
      <vt:lpstr>GG.4</vt:lpstr>
      <vt:lpstr>GG.7</vt:lpstr>
      <vt:lpstr>GG.8.2</vt:lpstr>
      <vt:lpstr>GG.8.3</vt:lpstr>
      <vt:lpstr>GG.9</vt:lpstr>
      <vt:lpstr>GG.10</vt:lpstr>
      <vt:lpstr>GG.11</vt:lpstr>
      <vt:lpstr>GG.12</vt:lpstr>
      <vt:lpstr>GG.14.2</vt:lpstr>
      <vt:lpstr>GG.14.3</vt:lpstr>
      <vt:lpstr>GG.2.2!_Hlk484632914</vt:lpstr>
      <vt:lpstr>GG.11!_Hlk487554614</vt:lpstr>
      <vt:lpstr>GG.10!_Toc107379214</vt:lpstr>
      <vt:lpstr>GG.11!_Toc107379214</vt:lpstr>
      <vt:lpstr>GG.12!_Toc107379214</vt:lpstr>
      <vt:lpstr>GG.14.2!_Toc107379214</vt:lpstr>
      <vt:lpstr>GG.14.3!_Toc107379214</vt:lpstr>
      <vt:lpstr>GG.2.1!_Toc107379214</vt:lpstr>
      <vt:lpstr>GG.2.2!_Toc107379214</vt:lpstr>
      <vt:lpstr>GG.2.3!_Toc107379214</vt:lpstr>
      <vt:lpstr>GG.4!_Toc107379214</vt:lpstr>
      <vt:lpstr>GG.7!_Toc107379214</vt:lpstr>
      <vt:lpstr>GG.8.2!_Toc107379214</vt:lpstr>
      <vt:lpstr>GG.8.3!_Toc107379214</vt:lpstr>
      <vt:lpstr>GG.9!_Toc107379214</vt:lpstr>
      <vt:lpstr>GG.10!_Toc362366703</vt:lpstr>
      <vt:lpstr>GG.11!_Toc362366703</vt:lpstr>
      <vt:lpstr>GG.12!_Toc362366703</vt:lpstr>
      <vt:lpstr>GG.8.2!_Toc362366703</vt:lpstr>
      <vt:lpstr>GG.8.3!_Toc362366703</vt:lpstr>
      <vt:lpstr>GG.9!_Toc362366703</vt:lpstr>
      <vt:lpstr>GG.8.2!_Toc362366706</vt:lpstr>
      <vt:lpstr>GG.8.3!_Toc362366706</vt:lpstr>
      <vt:lpstr>GG.4!_Toc364062045</vt:lpstr>
      <vt:lpstr>GG.7!_Toc364062049</vt:lpstr>
      <vt:lpstr>GG.2.2!_Toc458168252</vt:lpstr>
      <vt:lpstr>GG.10!_Toc458168263</vt:lpstr>
      <vt:lpstr>GG.11!_Toc458168263</vt:lpstr>
      <vt:lpstr>GG.12!_Toc458168263</vt:lpstr>
      <vt:lpstr>GG.11!_Toc458168269</vt:lpstr>
      <vt:lpstr>GG.11!_Toc458168271</vt:lpstr>
      <vt:lpstr>GG.11!_Toc458168272</vt:lpstr>
      <vt:lpstr>GG.12!_Toc458168273</vt:lpstr>
      <vt:lpstr>GG.1.2!_Toc488160412</vt:lpstr>
      <vt:lpstr>GG.1.3.2!_Toc488160412</vt:lpstr>
      <vt:lpstr>GG.10!_Toc488160412</vt:lpstr>
      <vt:lpstr>GG.11!_Toc488160412</vt:lpstr>
      <vt:lpstr>GG.12!_Toc488160412</vt:lpstr>
      <vt:lpstr>GG.14.2!_Toc488160412</vt:lpstr>
      <vt:lpstr>GG.14.3!_Toc488160412</vt:lpstr>
      <vt:lpstr>GG.2.1!_Toc488160412</vt:lpstr>
      <vt:lpstr>GG.2.2!_Toc488160412</vt:lpstr>
      <vt:lpstr>GG.2.3!_Toc488160412</vt:lpstr>
      <vt:lpstr>GG.4!_Toc488160412</vt:lpstr>
      <vt:lpstr>GG.7!_Toc488160412</vt:lpstr>
      <vt:lpstr>GG.8.2!_Toc488160412</vt:lpstr>
      <vt:lpstr>GG.8.3!_Toc488160412</vt:lpstr>
      <vt:lpstr>GG.9!_Toc488160412</vt:lpstr>
      <vt:lpstr>GG.7!_Toc488160423</vt:lpstr>
      <vt:lpstr>GG.8.3!_Toc488160428</vt:lpstr>
      <vt:lpstr>GG.10!_Toc488160429</vt:lpstr>
      <vt:lpstr>GG.11!_Toc488160429</vt:lpstr>
      <vt:lpstr>GG.12!_Toc488160429</vt:lpstr>
      <vt:lpstr>GG.9!_Toc488160429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2022-11-11T17:12:36Z</dcterms:modified>
  <cp:category/>
  <cp:contentStatus/>
</cp:coreProperties>
</file>